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72" activeTab="2"/>
  </bookViews>
  <sheets>
    <sheet name="Carátula INAI" sheetId="1" r:id="rId1"/>
    <sheet name="E001" sheetId="2" r:id="rId2"/>
    <sheet name="DGE" sheetId="3" r:id="rId3"/>
    <sheet name="DGEALSUPFM" sheetId="4" r:id="rId4"/>
    <sheet name="DGEPPOED" sheetId="5" r:id="rId5"/>
    <sheet name="DGEOPAEPEFFF" sheetId="6" r:id="rId6"/>
    <sheet name="DGEPLJ" sheetId="7" r:id="rId7"/>
    <sheet name="DGEAPCTA" sheetId="8" r:id="rId8"/>
    <sheet name="DGNC" sheetId="9" r:id="rId9"/>
    <sheet name="DGIV" sheetId="10" r:id="rId10"/>
    <sheet name="DGPDS" sheetId="11" r:id="rId11"/>
    <sheet name="DGAP" sheetId="12" r:id="rId12"/>
    <sheet name="DGCR" sheetId="13" r:id="rId13"/>
    <sheet name="E002" sheetId="14" r:id="rId14"/>
    <sheet name="DGCSD" sheetId="15" r:id="rId15"/>
    <sheet name="DGGAT" sheetId="16" r:id="rId16"/>
    <sheet name="DGAI" sheetId="17" r:id="rId17"/>
    <sheet name="DGGIE" sheetId="18" r:id="rId18"/>
    <sheet name="DGC" sheetId="19" r:id="rId19"/>
    <sheet name="DGPVS" sheetId="20" r:id="rId20"/>
    <sheet name="DGPAR" sheetId="21" r:id="rId21"/>
    <sheet name="E003" sheetId="22" r:id="rId22"/>
    <sheet name="DGPA" sheetId="23" r:id="rId23"/>
    <sheet name="DGTI" sheetId="24" r:id="rId24"/>
    <sheet name="DGVCCEF" sheetId="25" r:id="rId25"/>
    <sheet name="DGTSN" sheetId="26" r:id="rId26"/>
    <sheet name="E004" sheetId="27" r:id="rId27"/>
    <sheet name="DGAJ" sheetId="28" r:id="rId28"/>
    <sheet name="DGPDI" sheetId="29" r:id="rId29"/>
    <sheet name="M001" sheetId="30" r:id="rId30"/>
    <sheet name="DGA" sheetId="31" r:id="rId31"/>
    <sheet name="O001" sheetId="32" r:id="rId32"/>
    <sheet name="OIC" sheetId="33" r:id="rId33"/>
    <sheet name="K025" sheetId="34" r:id="rId34"/>
    <sheet name="FID - K025" sheetId="35" r:id="rId35"/>
  </sheets>
  <definedNames>
    <definedName name="_xlnm.Print_Titles" localSheetId="2">'DGE'!$1:$1</definedName>
  </definedNames>
  <calcPr fullCalcOnLoad="1"/>
</workbook>
</file>

<file path=xl/sharedStrings.xml><?xml version="1.0" encoding="utf-8"?>
<sst xmlns="http://schemas.openxmlformats.org/spreadsheetml/2006/main" count="8904" uniqueCount="1947">
  <si>
    <t>Avance en los Indicadores de los Programas presupuestarios de la Administración Pública Federal</t>
  </si>
  <si>
    <t>Meta anual</t>
  </si>
  <si>
    <t>Millones de pesos</t>
  </si>
  <si>
    <t>PRESUPUESTO ORIGINAL</t>
  </si>
  <si>
    <t>PRESUPUESTO MODIFICADO</t>
  </si>
  <si>
    <t>Porcentaje</t>
  </si>
  <si>
    <t>Efecto:</t>
  </si>
  <si>
    <t>Programa E-001 - Garantizar el óptimo cumplimiento de los derechos de acceso a la información pública y la protección de datos personales</t>
  </si>
  <si>
    <t>Unidad Responsable - Presidencia</t>
  </si>
  <si>
    <t>Pagado al período</t>
  </si>
  <si>
    <t>Avance</t>
  </si>
  <si>
    <t>al periodo</t>
  </si>
  <si>
    <t xml:space="preserve">Dirección General de Evaluación </t>
  </si>
  <si>
    <t>Dirección General de Normatividad y Consulta</t>
  </si>
  <si>
    <t>Dirección General de Investigación y Verificación</t>
  </si>
  <si>
    <t>Dirección General de Protección de Derechos y Sanción</t>
  </si>
  <si>
    <t>Dirección General de Atención al Pleno</t>
  </si>
  <si>
    <t>Dirección General de Cumplimientos y Responsabilidades</t>
  </si>
  <si>
    <t>Programa E-002 - Promover el pleno ejercicio de los derechos de acceso a la información pública y protección de datos personales</t>
  </si>
  <si>
    <t>Dirección General de Asuntos Internacionales</t>
  </si>
  <si>
    <t>Dirección General de Gobierno Abierto y Transparencia</t>
  </si>
  <si>
    <t>Dirección General de Enlace con los Poderes Legislativo y Judicial</t>
  </si>
  <si>
    <t>Dirección General de Enlace con la Administración Pública Centralizada y Tribunales Administrativos</t>
  </si>
  <si>
    <t>Dirección General de Prevención y Autorregulación</t>
  </si>
  <si>
    <t>Programa E-003 Coordinar el Sistema Nacional de Transparencia, Acceso a la Información y de Protección de Datos Personales.</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</si>
  <si>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</si>
  <si>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</si>
  <si>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</si>
  <si>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</si>
  <si>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Programa E-004 Desempeño organizacional y modelo institucional orientado a resultados con enfoque de derechos humanos y perspectiva de género.</t>
  </si>
  <si>
    <t>Dirección General de Asuntos Jurídicos</t>
  </si>
  <si>
    <t>Dirección General de Planeación y Desempeño Institucional</t>
  </si>
  <si>
    <t>Programa M-001 - Actividades de apoyo administrativo</t>
  </si>
  <si>
    <t>Dirección General de Administración</t>
  </si>
  <si>
    <t>Programa O-001 - Actividades de apoyo a la función pública y buen gobierno</t>
  </si>
  <si>
    <t>Unidad Responsable - Órgano Interno de Control (Contraloría)</t>
  </si>
  <si>
    <t>Órgano Interno de Control</t>
  </si>
  <si>
    <t>Programa K-025 - Proyectos de inmuebles (oficinas administrativas)</t>
  </si>
  <si>
    <t>Unidad Responsable - Administración</t>
  </si>
  <si>
    <t>No aplica</t>
  </si>
  <si>
    <t>210 - Administración</t>
  </si>
  <si>
    <t>Ramo o entidad:</t>
  </si>
  <si>
    <t>Ramo 44 - Instituto Nacional de Transparencia, Acceso a la Información y Protección de Datos Personales (INAI)</t>
  </si>
  <si>
    <t>Unidad Responsable:</t>
  </si>
  <si>
    <t>Programa Presupuestario:</t>
  </si>
  <si>
    <t>K025 - Proyectos de Inmuebles (oficinas administrativas)</t>
  </si>
  <si>
    <t>Alineación al Programa sectorial o Programa transversal:</t>
  </si>
  <si>
    <t>Alineación al objetivo sectorial  u objetivo transversal:</t>
  </si>
  <si>
    <t xml:space="preserve">Presupuesto </t>
  </si>
  <si>
    <t>Meta Anual</t>
  </si>
  <si>
    <t>Ejercicio Anual</t>
  </si>
  <si>
    <t>Avance % Anual</t>
  </si>
  <si>
    <t>Original</t>
  </si>
  <si>
    <t>Modificado</t>
  </si>
  <si>
    <t>Datos Generales del Indicador</t>
  </si>
  <si>
    <t>Nombre del Indicador</t>
  </si>
  <si>
    <t>Dimensión a medir:</t>
  </si>
  <si>
    <t>Eficacia</t>
  </si>
  <si>
    <t>Tipo de indicador para resultados:</t>
  </si>
  <si>
    <t>Gestión</t>
  </si>
  <si>
    <t>Sentido del Indicador:</t>
  </si>
  <si>
    <t>Ascendente</t>
  </si>
  <si>
    <t>Tipo del valor de la meta:</t>
  </si>
  <si>
    <t>Relativo</t>
  </si>
  <si>
    <t>Definición del indicador</t>
  </si>
  <si>
    <t>Método de cálculo</t>
  </si>
  <si>
    <t>Unidad de medida:</t>
  </si>
  <si>
    <t>Frecuencia de medición:</t>
  </si>
  <si>
    <t>Metas</t>
  </si>
  <si>
    <t>Avances</t>
  </si>
  <si>
    <t>Año</t>
  </si>
  <si>
    <t>Valor</t>
  </si>
  <si>
    <t>Periodo de cumplimiento</t>
  </si>
  <si>
    <t>Avance Anual</t>
  </si>
  <si>
    <t>% de Cumplimiento respecto a Meta Anual</t>
  </si>
  <si>
    <t>Justificación del Avance Reportado:</t>
  </si>
  <si>
    <t xml:space="preserve">Causa: </t>
  </si>
  <si>
    <t>Otros motivos:</t>
  </si>
  <si>
    <t>En seguimiento a la metodología de Evaluación de Desempeño implementada por el Instituto se reportan matrices de indicador para resultado, indicadores de desempeño y avance de metas por Unidad Administrativa. Las Unidades Administrativas adscritas a este Programa Presupuestario son:</t>
  </si>
  <si>
    <t>En seguimiento a la metodología de Evaluación de Desempeño implementada por el Instituto se reportan matrices de indicador para resultado, indicadores de desempeño y avance de metas por Unidad Administrativa. La Unidad Administrativa adscrita a este Programa Presupuestario es:</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</si>
  <si>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</si>
  <si>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t>Cuenta Pública 2017</t>
  </si>
  <si>
    <t>Indicadores de Resultados</t>
  </si>
  <si>
    <t>Datos del programa presupuestario</t>
  </si>
  <si>
    <t>Programa presupuestario</t>
  </si>
  <si>
    <t>E004 - Desempeño organizacional y modelo institucional orientado a resultados con enfoque de derechos humanos y perspectiva de género.</t>
  </si>
  <si>
    <t>Ramo</t>
  </si>
  <si>
    <t>44 - Instituto Nacional de Transparencia, Acceso a la Información y Protección de Datos Personales</t>
  </si>
  <si>
    <t>Unidad responsable</t>
  </si>
  <si>
    <t>100 - Presidencia</t>
  </si>
  <si>
    <t>Unidad administrativa</t>
  </si>
  <si>
    <t>160 - Dirección General de Asuntos Jurídicos</t>
  </si>
  <si>
    <t>Enfoques transversales</t>
  </si>
  <si>
    <t>No Aplica</t>
  </si>
  <si>
    <t>Alineación</t>
  </si>
  <si>
    <t>Alineación Institucional</t>
  </si>
  <si>
    <t>Objetivo Estratégico</t>
  </si>
  <si>
    <t>Impulsar el desempeño organizacional y promover un modelo institucional de servicio público orientado a resultados con un enfoque de derechos humanos y perspectiva de género.</t>
  </si>
  <si>
    <t>Secretaría</t>
  </si>
  <si>
    <t>Presidencia</t>
  </si>
  <si>
    <t>Clasificación Funcional</t>
  </si>
  <si>
    <t>Finalidad</t>
  </si>
  <si>
    <t>1 - Gobierno</t>
  </si>
  <si>
    <t>Función</t>
  </si>
  <si>
    <t>8 - Otros Servicios Generales</t>
  </si>
  <si>
    <t>Subfunción</t>
  </si>
  <si>
    <t>4 - Garantizar el acceso a la información y la protección de datos personales</t>
  </si>
  <si>
    <t>Actividad Institucional</t>
  </si>
  <si>
    <t>10 - Transparencia, acceso a la información y protección de datos personales</t>
  </si>
  <si>
    <t>Presupuesto</t>
  </si>
  <si>
    <t>Ejercicio</t>
  </si>
  <si>
    <t>Avance anual</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</si>
  <si>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</si>
  <si>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</si>
  <si>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</si>
  <si>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</si>
  <si>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</si>
  <si>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</si>
  <si>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</si>
  <si>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</si>
  <si>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</si>
  <si>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Unidad de medida</t>
  </si>
  <si>
    <t>Tipo-Dimensión-Frecuencia</t>
  </si>
  <si>
    <t>Meta anual aprobada:</t>
  </si>
  <si>
    <t>Meta anual modificada:</t>
  </si>
  <si>
    <t>Índice de Gestión para Resultados con enfoque de derechos humanos y perspectiva de género (IGpR)</t>
  </si>
  <si>
    <t>Contribuir a impulsar el desempeño organizacional y promover un modelo institucional de servicio público orientado a resultados con un enfoque de derechos humanos y perspectiva de género mediante la salvaguarda de los intereses jurídicos del INAI</t>
  </si>
  <si>
    <t>IGpR= (Calificación requisito 1 + Calificación requisito 2 + …+ Calificación requisito n) / n</t>
  </si>
  <si>
    <t>Índice</t>
  </si>
  <si>
    <t>Estratégico-Eficacia-Anual</t>
  </si>
  <si>
    <t>Realizado al Período:</t>
  </si>
  <si>
    <t>Avance realizado al período con respecto a la meta anual modificada % :</t>
  </si>
  <si>
    <t>Porcentaje de juicios de amparo favorables concluidos</t>
  </si>
  <si>
    <t>Las unidades administrativas del  INAI cuentan con la salvaguarda de sus intereses jurídicos ante el Poder Judicial de la Federación y el Tribunal Federal de Justicia Administrativa</t>
  </si>
  <si>
    <t>(Total de juicios de amparo concluidos favorablemente /Número de juicios de amparo concluidos) * 100</t>
  </si>
  <si>
    <t>Estratégico-Eficiencia-Anual</t>
  </si>
  <si>
    <t>Porcentaje de juicios de nulidad favorables concluidos</t>
  </si>
  <si>
    <t xml:space="preserve">Las unidades administrativas del  INAI cuentan con la salvaguarda de sus intereses jurídicos ante el Poder Judicial de la Federación y el Tribunal Federal de Justicia Administrativa </t>
  </si>
  <si>
    <t>(Total de juicios de nulidad concluidos favorablemente /Número de juicios de nulidad concluidos) * 100</t>
  </si>
  <si>
    <t>Porcentaje de resoluciones obtenidas del Poder Judicial de la Federación donde se reconoce la comparecencia del Instituto.</t>
  </si>
  <si>
    <t>Defensa jurídica proporcionada hasta el punto de llegar a una resolución emitida por el Poder Judicial de la Federación, en la que se reconoce la comparecencia del Instituto.</t>
  </si>
  <si>
    <t>(Número de juicios de amparo en los que se reconoció la comparecencia del INAI /Total de juicios de amparo notificados al INAI, en que debe comparecer) * 100</t>
  </si>
  <si>
    <t>Gestión-Eficacia-Semestral</t>
  </si>
  <si>
    <t>Porcentaje de resoluciones obtenidas del Tribunal Federal de Justicia Fiscal y Administrativa donde se reconoce la comparecencia del Instituto.</t>
  </si>
  <si>
    <t>Defensa jurídica proporcionada hasta el punto de llegar a una resolución emitida por el Tribunal Federal de Justicia Fiscal y Administrativa, en la que se reconoce la comparecencia del Instituto.</t>
  </si>
  <si>
    <t>(Número de juicios de nulidad en los que se reconoció la comparecencia del INAI /Total de juicios de nulidad notificados al INAI, en que debe comparecer) * 100</t>
  </si>
  <si>
    <t>Promedio de días para la atención de solicitudes de asesoría legal</t>
  </si>
  <si>
    <t>Asesoría legal del Instituto en procesos de licitación, invitaciones y adjudicaciones otorgada.</t>
  </si>
  <si>
    <t>Suma del total de días ocupados en cada asunto / Número total de asuntos solicitados</t>
  </si>
  <si>
    <t>Promedio</t>
  </si>
  <si>
    <t>Gestión-Eficiencia-Semestral</t>
  </si>
  <si>
    <t>Porcentaje de asuntos correctamente publicados en el Diario Oficial de la Federación.</t>
  </si>
  <si>
    <t>Publicaciones realizadas en el Diario Oficial de Federación.</t>
  </si>
  <si>
    <t>(Número de asuntos publicados/Total de gestionados para publicación) * 100</t>
  </si>
  <si>
    <t xml:space="preserve">Porcentaje </t>
  </si>
  <si>
    <t xml:space="preserve">Porcentaje de respuestas dadas a las solicitudes de información </t>
  </si>
  <si>
    <t xml:space="preserve">Respuestas a solicitudes de acceso a la información atendidas. </t>
  </si>
  <si>
    <t>(Número de respuestas entregadas/Total de solicitudes turnadas por la Dirección General a las unidades administrativas del INAI) * 100</t>
  </si>
  <si>
    <t>Porcentaje de  proyectos de  resoluciones elaborados.</t>
  </si>
  <si>
    <t xml:space="preserve">Elaboración de proyectos de resoluciones del Comité de Transparencia. </t>
  </si>
  <si>
    <t>(Número de proyectos de resolución/ Número de solicitudes de clasificación confirmadas, revocadas o modificadas) * 100</t>
  </si>
  <si>
    <t>Porcentaje de  cumplimientos realizados.</t>
  </si>
  <si>
    <t xml:space="preserve">Cumplimiento a las resoluciones de los recursos de revisión interpuestos en contra de este Instituto. </t>
  </si>
  <si>
    <t>(Número de cumplimientos gestionados y realizados / Número de resoluciones de recursos de revisión interpuestos en contra de este Instituto que deban cumplirse) * 100</t>
  </si>
  <si>
    <t>Porcentaje de atención a los juicios de amparo notificados al Instituto por el Poder Judicial de la Federación.</t>
  </si>
  <si>
    <t>Atención de juicios de amparo que son notificados por el Poder Judicial de la Federación.</t>
  </si>
  <si>
    <t>(Número de juicios de amparo notificados y gestionados/ Total de juicios de amparo notificados ) * 100</t>
  </si>
  <si>
    <t>Gestión-Eficacia-Trimestral</t>
  </si>
  <si>
    <t>Porcentaje de atención a los juicios de nulidad notificados al Instituto por el Tribunal Federal de Justicia Fiscal y Administrativa.</t>
  </si>
  <si>
    <t>Atención de juicios de nulidad que  son notificados por el Tribunal Federal de Justicia Fiscal y Administrativa.</t>
  </si>
  <si>
    <t>(Número de juicios de nulidad notificados y gestionados/ Total de juicios de nulidad asuntos notificados ) * 100</t>
  </si>
  <si>
    <t xml:space="preserve"> Porcentaje de atención de consultas internas. </t>
  </si>
  <si>
    <t>Atención a consultas realizadas por unidades administrativas del Instituto, hasta el punto de poder emitir una respuesta.</t>
  </si>
  <si>
    <t xml:space="preserve"> (Número de consultas gestionadas para dar respuesta/Total de consultas recibidas) * 100</t>
  </si>
  <si>
    <t xml:space="preserve"> Porcentaje de atención de convenios </t>
  </si>
  <si>
    <t>Atención a los asuntos relacionados con la elaboración de convenios</t>
  </si>
  <si>
    <t xml:space="preserve"> (Número de asuntos sobre convenios gestionadas /Total de consultas sobre convenios recibidas) * 100</t>
  </si>
  <si>
    <t>Porcentaje de atención a los asuntos que requieren publicación el Diario Oficial de la Federación.</t>
  </si>
  <si>
    <t>Atención de asuntos que requieren publicación en el Diario Oficial de la Federación.</t>
  </si>
  <si>
    <t>(Total de asuntos que requieren una notificación en el DOF gestionados/Número de asuntos que requieren una publicación en DOF) * 100</t>
  </si>
  <si>
    <t>Porcentaje de atención a las solicitudes de información.</t>
  </si>
  <si>
    <t xml:space="preserve">Atención a las solicitudes de información. </t>
  </si>
  <si>
    <t>(Número de solicitudes turnadas por  la Dirección General a las unidades administrativas del INAI + el número de solicitudes orientadas a otra autoridad / Total de solicitudes recibidas por el INAI) * 100</t>
  </si>
  <si>
    <t>Porcentaje de atención a las solicitudes  formuladas al Comité de Transparencia.</t>
  </si>
  <si>
    <t>Atención a las solicitudes  formuladas al Comité de Transparencia por parte de las unidades administrativas de este Instituto.</t>
  </si>
  <si>
    <t>(Número de  solicitudes atendidas/ Número de solicitudes recibidas) * 100</t>
  </si>
  <si>
    <t>Porcentaje de atención a los recursos de revisión interpuestos.</t>
  </si>
  <si>
    <t xml:space="preserve">Atención a los recursos de revisión interpuestos en contra de este Instituto. </t>
  </si>
  <si>
    <t>(Número de recursos de revisión gestionados hasta rendir alegatos / Número de recursos de revisión interpuestos en contra del INAI) * 100</t>
  </si>
  <si>
    <t>Porcentaje de comparecencia y cumplimiento de obligaciones del INAI en los recursos de revisión interpuestos.</t>
  </si>
  <si>
    <t xml:space="preserve">Comparecencia ante el INAI en substanciación a los recursos de revisión. </t>
  </si>
  <si>
    <t>(Número de recursos de revisión gestionados en los que se rinden alegatos y se substancia hasta que se resuelve / Número de recursos de revisión interpuestos en contra del INAI) * 100</t>
  </si>
  <si>
    <t>Justificación de diferencia de avances con respecto a las metas programadas</t>
  </si>
  <si>
    <t>Causa:</t>
  </si>
  <si>
    <t xml:space="preserve">La meta planteada para este indicador se cumplió debido al avance de las prácticas e instrumentos de la gestión para resultados del Instituto. Los avances en los pilares son:
1) Planeación orientada a resultados: 4.78
2) Presupuesto por resultados: 4.17
3) Gestión financiera, auditoría y adquisiciones: 4.25
4) Gestión de programas y proyectos: 1.78
5) Seguimiento y evaluación: 2.85
6) Asuntos jurídicos: 1.5 </t>
  </si>
  <si>
    <t>Otros Motivos:</t>
  </si>
  <si>
    <t>El porcentaje corresponde a 122 juicios de amparo concluidos, de los cuales 94 resultaron favorables</t>
  </si>
  <si>
    <t>El porcentaje obtenido es acorde a los parámetros contemplados, y responde a las acciones implementadas por la Dirección, lo que permite corroborar la idoneidad de las estrategias implementadas.</t>
  </si>
  <si>
    <t xml:space="preserve">El porcentaje corresponde a 60 juicios de nulidad concluidos, de los cuales 40 resultaron favorables
Es un indicador nuevo, la Línea base corresponde a la anualidad  en que el INAI reportó su mas bajó  porcentaje de juicios favorables (2015 con un 47%),  siendo el objeto no repetir esa cifra.
Además debe tomarse en cuenta que el periodo de conclusión de los juicios es entre 1 a 5 años, </t>
  </si>
  <si>
    <t>El porcentaje corresponde a 122 juicios de amparo concluidos en que se reconoce comparecencia</t>
  </si>
  <si>
    <t>Se advierte el cumplimiento total de las obligaciones derivadas de la sustanciación de los juicios donde el Instituto es parte, al reconocerse que éste compareció a defender sus intereses.</t>
  </si>
  <si>
    <t>El porcentaje corresponde a 60 juicios de nulidad concluidos en que se reconoce comparecencia</t>
  </si>
  <si>
    <t>El porcentaje corresponde a 121 asuntos</t>
  </si>
  <si>
    <t>Se advierte la debida atención a la totalidad de consultas presentadas a la Dirección, lo que tiene como consecuencia observar el debido aprovechamiento del personal y el correspondiente asesoramiento a las unidades administrativas.</t>
  </si>
  <si>
    <t>El porcentaje corresponde a 64 asuntos</t>
  </si>
  <si>
    <t>El porcentaje corresponde al total de asuntos programados, respecto de los que era necesario obtener la publicación, de lo que se advierte la difusión oficial y la correspondiente obligatoriedad para terceros respecto de los actos del INAI.</t>
  </si>
  <si>
    <t>El porcentaje corresponde a 2578 solicitudes, faltando por dar respuesta 44 solicitudes que se encuentran dentro del plazo de ley.</t>
  </si>
  <si>
    <t>Se advierte el cumplimiento total de las obligaciones, pues la variación se debió a que a la fecha en que se presentó el último reporte, las solicitudes que aún no contaban con respuesta, se encontraba dentro del plazo legal para emitirse.</t>
  </si>
  <si>
    <t>El porcentaje corresponde a 456 Solicitudes recibidas en 2017.
Cabe aclarar que en el primer semestre se consideraron 156 asuntos que no cumplen los requisitos para considerarse como solicitudes de clasificación, de ahí que en el reporte anual se considere pertinente solo tomar en cuenta las 456 solicitudes que se mencionan (269 para el primer semestre y 187 para el segundo).</t>
  </si>
  <si>
    <t>Se advierte el cumplimiento de la normativa en materia de transparencia, donde el INAI actúa como sujeto obligado.</t>
  </si>
  <si>
    <t>El porcentaje corresponde a 81 asuntos cumplidos en 2017</t>
  </si>
  <si>
    <t>Se advierte el cumplimiento de la normativa en materia de transparencia, donde el INAI actúa como sujeto obligado acatando las ordenes en recursos de revisión.</t>
  </si>
  <si>
    <t>El porcentaje corresponde a 301 juicios de amparo notificados</t>
  </si>
  <si>
    <t>Se advierte el cumplimiento total de las obligaciones derivadas durante la sustanciación de los juicios donde el Instituto es parte.</t>
  </si>
  <si>
    <t>El porcentaje corresponde a 114 juicios de nulidad notificados</t>
  </si>
  <si>
    <t>El porcentaje corresponde a 170 consultas</t>
  </si>
  <si>
    <t>El porcentaje corresponde a 38 asuntos relacionados con convenios</t>
  </si>
  <si>
    <t>Se advierte vinculación entre el INAI y el sector público y privado, para abonar en la obtención de metas afines para las partes, en pro de los derechos en materia de transparencia y protección de datos personales.</t>
  </si>
  <si>
    <t>El porcentaje corresponde a 65 asuntos</t>
  </si>
  <si>
    <t>Se advierte la correcta gestión del proceso, para lograr la publicación de actos.</t>
  </si>
  <si>
    <t>El porcentaje corresponde a 2578 solicitudes</t>
  </si>
  <si>
    <t>Se advierte la debida atención de la totalidad de las solicitudes desde su recepción.</t>
  </si>
  <si>
    <t>El porcentaje corresponde a 518 Solicitudes recibidas en 2017.
Cabe aclarar que en el primer semestre se consideraron 119 asuntos que no cumplen los requisitos para considerarse como solicitudes, de ahí que en el reporte anual se considere pertinente solo tomar en cuenta las 518 solicitudes que se mencionan (306 para el primer semestre y 212 para el segundo).</t>
  </si>
  <si>
    <t>Se advierte el cumplimiento de obligaciones específicas del INAI como sujeto obligado.</t>
  </si>
  <si>
    <t>El porcentaje corresponde a 108 asuntos</t>
  </si>
  <si>
    <t>El porcentaje corresponde a 81 asuntos notificados y resueltos en 2017</t>
  </si>
  <si>
    <t>Justificación del ajuste a las metas</t>
  </si>
  <si>
    <t>Justificación de ajustes en la Meta anual:</t>
  </si>
  <si>
    <t>Se solicita el ajuste a la meta anual a partir del acuerdo llevado a cabo el 7 de junio de 2017 en congruencia con los ajustes que harán las demás unidades administrativas que participan en la construcción de este indicador.</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</si>
  <si>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</si>
  <si>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r>
      <t xml:space="preserve">Nivel: </t>
    </r>
    <r>
      <rPr>
        <b/>
        <sz val="9"/>
        <color indexed="9"/>
        <rFont val="Soberana Sans"/>
        <family val="3"/>
      </rPr>
      <t>Propósito</t>
    </r>
  </si>
  <si>
    <r>
      <t xml:space="preserve">Nivel: </t>
    </r>
    <r>
      <rPr>
        <b/>
        <sz val="9"/>
        <color indexed="9"/>
        <rFont val="Soberana Sans"/>
        <family val="3"/>
      </rPr>
      <t>Componente</t>
    </r>
  </si>
  <si>
    <r>
      <t xml:space="preserve">Nivel: </t>
    </r>
    <r>
      <rPr>
        <b/>
        <sz val="9"/>
        <color indexed="9"/>
        <rFont val="Soberana Sans"/>
        <family val="3"/>
      </rPr>
      <t>Actividad</t>
    </r>
  </si>
  <si>
    <t>M001 - Actividades de apoyo administrativo</t>
  </si>
  <si>
    <t>210 - Dirección General de Administración</t>
  </si>
  <si>
    <r>
      <t>Nivel:</t>
    </r>
    <r>
      <rPr>
        <sz val="9"/>
        <color indexed="9"/>
        <rFont val="Soberana Sans"/>
        <family val="3"/>
      </rPr>
      <t xml:space="preserve"> </t>
    </r>
    <r>
      <rPr>
        <b/>
        <sz val="9"/>
        <color indexed="9"/>
        <rFont val="Soberana Sans"/>
        <family val="3"/>
      </rPr>
      <t>Fin</t>
    </r>
  </si>
  <si>
    <t xml:space="preserve">Contribuir a impulsar el desempeño organizacional y promover un modelo institucional de servicio público orientado a resultados con un enfoque de derechos humanos y perspectiva de género, mediante la prestación de servicios para que las Unidades Administrativas del INAI cuenten con los recursos humanos, financieros y materiales necesarios para el desarrollo de sus funciones. </t>
  </si>
  <si>
    <r>
      <t xml:space="preserve">Nivel: </t>
    </r>
    <r>
      <rPr>
        <b/>
        <sz val="9"/>
        <color indexed="9"/>
        <rFont val="Soberana Sans"/>
        <family val="3"/>
      </rPr>
      <t>Propósito</t>
    </r>
  </si>
  <si>
    <t>Promedio otorgado por los usuarios de los servicios proporcionados por la DGA.</t>
  </si>
  <si>
    <t>Las Unidades Administrativas del INAI cuentan con los recursos humanos, financieros y materiales necesarios para el desarrollo de sus funciones.</t>
  </si>
  <si>
    <t>(Suma de las calificaciones obtenidas en la encuesta de satisfacción/ Total de reactivos calificados en la encuesta de satisfacción)</t>
  </si>
  <si>
    <r>
      <t xml:space="preserve">Nivel: </t>
    </r>
    <r>
      <rPr>
        <b/>
        <sz val="9"/>
        <color indexed="9"/>
        <rFont val="Soberana Sans"/>
        <family val="3"/>
      </rPr>
      <t>Componente</t>
    </r>
  </si>
  <si>
    <t>Media geométrica de efectividad en actividades de la DGA.</t>
  </si>
  <si>
    <t>Servicios financieros, materiales y humanos proporcionados por la Dirección General de Administración.</t>
  </si>
  <si>
    <t>√(Porcentaje de avance en el cumplimiento de obligaciones con instancias externas * Porcentaje de bienes y servicios atendidos por la DGA)</t>
  </si>
  <si>
    <r>
      <t xml:space="preserve">Nivel: </t>
    </r>
    <r>
      <rPr>
        <b/>
        <sz val="9"/>
        <color indexed="9"/>
        <rFont val="Soberana Sans"/>
        <family val="3"/>
      </rPr>
      <t>Actividad</t>
    </r>
  </si>
  <si>
    <t>Porcentaje de avance en el cumplimiento de obligaciones en materia de recursos humanos, con instancias externas.</t>
  </si>
  <si>
    <t>Cumplimiento de obligaciones con instancias externas.</t>
  </si>
  <si>
    <t>(Obligaciones realizadas ante terceros / Obligaciones establecidas en la normatividad en materia de recursos humanos) * 100</t>
  </si>
  <si>
    <t xml:space="preserve">Porcentaje de avance en la entrega de informes presupuestales y financieros a la SHCP. </t>
  </si>
  <si>
    <t>(Informes en materia presupuestal y financiera entregados a la SHCP / Número total de informes a entregar a la SHCP, establecidos en la normatividad) * 100</t>
  </si>
  <si>
    <t>Porcentaje de servicios atendidos por la Dirección de Recursos Financieros.</t>
  </si>
  <si>
    <t>Atención de los requerimientos de recursos humanos, financieros administrativos que realizan las Unidades Administrativas del INAI, para el desarrollo de sus funciones.</t>
  </si>
  <si>
    <t>(Número de requerimientos de servicios atendidos por la Dirección de Recursos Financieros / Número total de requerimientos de servicios solicitados a la Dirección de Recursos Financieros) * 100</t>
  </si>
  <si>
    <t>Porcentaje de servicios atendidos por la Dirección de Desarrollo Humano y Organizacional.</t>
  </si>
  <si>
    <t>(Número de requerimientos de servicios atendidos por la Dirección de Desarrollo Humano y Organizacional / Número total de requerimientos de servicios solicitados a la Dirección de Desarrollo Humano y Organizacional) * 100</t>
  </si>
  <si>
    <t>Porcentaje de servicios atendidos por la Dirección de Recursos Materiales y Servicios Generales.</t>
  </si>
  <si>
    <t>(Número de requerimientos de servicios atendidos por la Dirección de Recursos Materiales y Servicios Generales / Número total de requerimientos de servicios solicitados a la Dirección de Recursos Materiales y Servicios Generales) * 100</t>
  </si>
  <si>
    <t>La meta planteada para este indicador se cumplió debido al avance de las prácticas e instrumentos de la gestión para resultados del Instituto. Los avances en los pilares son:
1) Planeación orientada a resultados: 4.78
2) Presupuesto por resultados: 4.17
3) Gestión financiera, auditoría y adquisiciones: 4.25
4) Gestión de programas y proyectos: 1.78
5) Seguimiento y evaluación: 2.85
6) Asuntos jurídicos: 1.5</t>
  </si>
  <si>
    <t xml:space="preserve">   </t>
  </si>
  <si>
    <t>En la Encuesta anual de satisfacción de los servicios a cargo de la DGA 2017, participaron 132 servidores públicos; la suma de las calificaciones obtenidas fue de 10,896, considerando 1214 reactivos válidos.</t>
  </si>
  <si>
    <t>Positivo, toda vez que el incremento en el nivel de satisfacción de los servidores públicos es un reflejo de las mejoras aplicadas durante el ejercicio 2018 en la gestión interna del INAI, lo cual también impacta en la imagen que la sociedad mexicana tiene de este Instituto.</t>
  </si>
  <si>
    <t>En el 2017, mediante la prestación de 30,069 servicios internos y el cumplimiento de 223 obligaciones con instancias externas, la DGA contribuyó con la operación, funcionamiento y logro de los objetivos institucionales para la garantía de los derechos de acceso a la información y de protección de datos personales.</t>
  </si>
  <si>
    <t>Positivo, toda vez que la administración interna de los recursos humanos, materiales y financieros ha permitido al INAI hacer frente y dar cumplimiento a las atribuciones en materia de acceso a la información y protección de datos personales, sin menoscabar actividades sustantivas ni contraer el ejercicio de estos derechos.</t>
  </si>
  <si>
    <t>Durante el 2017, la DGA dio total cumplimiento a las obligaciones que en materia de recursos humanos tiene con instancias externas (ISSSTE, FOVISSSTE, Metlife, entre otros). Lo anterior equivale a  167 obligaciones, entre las que destacan: 
• Declaración Informativa Múltiple (DIM)
• Aportaciones Seguro de Gastos Médicos Mayores.
• Cuotas y aportaciones SAR FOVISSSTE.
• Cuotas y aportaciones Seguro de Vida Institucional.
• Cuotas y aportaciones Seguro Colectivo de Retiro.
• Cuotas Seguro de Vida Individual. 
• Cuotas y aportaciones Seguro de Separación Individualizado.</t>
  </si>
  <si>
    <t>Positivo, debido a que el continuo seguimiento, observancia y cumplimiento de la normatividad en materia de recursos humanos, contribuye a dotar a los servidores públicos del INAI de una amplia gama de prerrogativas inherentes a su desempeño en el sector público.</t>
  </si>
  <si>
    <t>Durante el 2017, la DGA rindió a la Secretaría de Hacienda y Crédito Público 56 informes relativos a la situación presupuestal del Instituto, entre los que destacan:
1.- Informes sobre la Situación Económica, las Finanzas Públicas y la Deuda Pública. 
2.- Cuenta de la Hacienda Pública Federal. 
3.- Envíos a Sistema Integral de Información de Organismos Autónomos
• Gasto Comprometido de Ramos Autónomos. 
• Adeudos de Ejercicios Fiscales Anteriores. 
• Gasto devengado, ejercido y pagado. 
Con la presentación de los citados informes, el INAI dio cumplimiento a la normatividad en materia financiera, presupuestal y contable, a la que se encuentra sujeto como organismo autónomo.</t>
  </si>
  <si>
    <t>Positivo, toda vez que el seguimiento y control de los recursos financieros permite la optimización del patrimonio del INAI, y con ello la observancia de los principios de economía, eficacia y eficiencia, plasmados en la Constitución mexicana.</t>
  </si>
  <si>
    <t>Durante el 2017 la Dirección de Recursos Financieros atendió 3746 servicios relativos a pago a proveedores y comprobación de viáticos. 
Es importante señalar que el registro, control y seguimiento que la DGA realiza a las operaciones presupuestarias de las unidades administrativas, contribuye a la eficiencia, eficacia y transparencia en el gasto del INAI.</t>
  </si>
  <si>
    <t>Positivo, toda vez que la atención a requerimientos en materia financiera, ha permitido al INAI contar con los recursos financieros necesarios para desarrollar sus atribuciones al interior del INAI, así como en el territorio nacional e internacional, para la promoción y garantía de los derechos de acceso a la información y de protección de datos personales.</t>
  </si>
  <si>
    <t>Durante el 2017 la Dirección de Desarrollo Humano y Organizacional atendió 987 requerimientos relativos a movimientos de personal, solicitud de prestadores de servicio social y prácticas profesionales, pago de nómina, permisos, licencias, pólizas de automóvil, etc. 
A través de la oportuna respuesta a los requerimientos que las unidades administrativas y los servidores públicos del INAI realizan en materia de recursos humanos, la DDHO facilita y fortalece el desempeño organizacional para el logro de la misión y visión institucionales.</t>
  </si>
  <si>
    <t xml:space="preserve">Positivo, debido a que la continua atención a los servidores públicos y a las unidades administrativas del Instituto, permite la movilidad, actualización y especialización del personal, así como la salvaguarda de los derechos humanos a los que toda persona tiene derecho en su ámbito laboral, de acuerdo con la legislación mexicana. </t>
  </si>
  <si>
    <t>Durante el 2017 la Dirección de Recursos Materiales y Servicios Generales atendió 25,336 requerimientos relativos a adquisición de bienes, contratación de servicios, servicios generales, entrega de insumos de papelería y cómputo, insumos de cafetería, montaje de salas para eventos, préstamo de material bibliográfico, etc.  
Es de destacar que la prestación de los mencionados servicios permitió a las unidades administrativas, servidores públicos y personal externo, contar con los insumos y equipo necesarios para el desarrollo de sus funciones.</t>
  </si>
  <si>
    <t>Positivo, toda vez que la administración de los bienes muebles e inmuebles del INAI fomenta el cuidado y mantenimiento del patrimonio institucional, y con ello de los recursos del Estado.</t>
  </si>
  <si>
    <t>Se realiza el ajuste a la meta en virtud de la calificación obtenida en el cuestionario establecido para evaluar la integración de los pilares del IGpR por las 4 unidades administrativas involucradas en la construcción de este indicador.</t>
  </si>
  <si>
    <t>E002 - Promover el pleno ejercicio de los derechos de acceso a la información pública y de protección de datos personales.</t>
  </si>
  <si>
    <t>170 - Dirección General de Comunicación Social y Difusión</t>
  </si>
  <si>
    <t>Promover el pleno ejercicio de los derechos de acceso a la información pública y de protección de datos personales, así como la transparencia y apertura de las instituciones públicas.</t>
  </si>
  <si>
    <r>
      <t xml:space="preserve">Nivel: </t>
    </r>
    <r>
      <rPr>
        <b/>
        <sz val="9"/>
        <color indexed="9"/>
        <rFont val="Soberana Sans"/>
        <family val="3"/>
      </rPr>
      <t>Fin</t>
    </r>
  </si>
  <si>
    <t>Tasa de Incremento de la Imagen y Percepción Institucional</t>
  </si>
  <si>
    <t xml:space="preserve">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 </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</si>
  <si>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</si>
  <si>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Tasa de variación</t>
  </si>
  <si>
    <t>Porcentaje de personas que conocen o han oído hablar del Instituto</t>
  </si>
  <si>
    <t>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t>
  </si>
  <si>
    <t>(Número de personas que conocen o han oído hablar del Instituto Nacional de Transparencia, Acceso a la Información y Protección del Datos Personales en la medición actual de ENDAIPG / Número de personas encuestadas en la ENDAIPG)*100</t>
  </si>
  <si>
    <t>Estratégico-Eficacia-Bienal</t>
  </si>
  <si>
    <t>No aplica.</t>
  </si>
  <si>
    <r>
      <t xml:space="preserve">Nivel: </t>
    </r>
    <r>
      <rPr>
        <b/>
        <sz val="9"/>
        <color indexed="9"/>
        <rFont val="Soberana Sans"/>
        <family val="3"/>
      </rPr>
      <t>Propósito</t>
    </r>
  </si>
  <si>
    <t xml:space="preserve">Índice de posicionamiento de identidad institucional. </t>
  </si>
  <si>
    <t>La ciudadanía, el personal y los medios de comunicación reconocen la identidad y quehacer del INAI.</t>
  </si>
  <si>
    <t>X=((X1*0.2)*(X2*0.2)*(X3*0.6))
Donde X1 es el posicionamiento entre el personal, X2 es el posicionamiento en medios de comunicación y X3 es el posicionamiento entre la ciudadanía.</t>
  </si>
  <si>
    <t>Estratégico-Calidad-Anual</t>
  </si>
  <si>
    <r>
      <t xml:space="preserve">Nivel: </t>
    </r>
    <r>
      <rPr>
        <b/>
        <sz val="9"/>
        <color indexed="9"/>
        <rFont val="Soberana Sans"/>
        <family val="3"/>
      </rPr>
      <t>Componente</t>
    </r>
  </si>
  <si>
    <t xml:space="preserve">Media geométrica del cumplimiento de las actividades en materia de medios y sociedad </t>
  </si>
  <si>
    <t>Estrategia de comunicación para medios de comunicación y ciudadanía sobre el quehacer del INAI implementada</t>
  </si>
  <si>
    <t>X=5√ (X1*X2...X5)</t>
  </si>
  <si>
    <t>Promedio porcentual</t>
  </si>
  <si>
    <t>Gestión-Eficacia-Anual</t>
  </si>
  <si>
    <t>Porcentaje de personas que juzgan que las actividades en materia de comunicación interna cumplen con su objetivo.</t>
  </si>
  <si>
    <t>Difusión de la identidad del INAI entre su personal a través de la ejecución de diversas estrategias clave de comunicación interna.</t>
  </si>
  <si>
    <t>((Cantidad de personal del INAI que opina que los canales de comunicación interna fueron "buenos" o "muy buenos" en el año en curso) / (Total del personal del INAI que opina acerca de la eficacia de los canales de comunicación interna en  el año en curso)*100</t>
  </si>
  <si>
    <t>Gestión-Calidad-Anual</t>
  </si>
  <si>
    <r>
      <t xml:space="preserve">Nivel: </t>
    </r>
    <r>
      <rPr>
        <b/>
        <sz val="9"/>
        <color indexed="9"/>
        <rFont val="Soberana Sans"/>
        <family val="3"/>
      </rPr>
      <t>Actividad</t>
    </r>
  </si>
  <si>
    <t>Porcentaje de cumplimiento de las actividades calendarizadas para la realización de la campaña</t>
  </si>
  <si>
    <t>Ejecución de campaña institucional en medios para posicionar las atribuciones e identidad gráfica del Instituto.</t>
  </si>
  <si>
    <t>(Número de actividades calendarizadas cumplidas / Número de actividades totales consideradas) * 100</t>
  </si>
  <si>
    <t>Porcentaje de cumplimiento del calendario para la aplicación de la Encuesta INAI de percepción nacional ciudadana</t>
  </si>
  <si>
    <t>Aplicación de Encuesta INAI de percepción nacional ciudadana 2017 acerca del acceso a la información, la protección de datos personales y la identidad institucional.</t>
  </si>
  <si>
    <t>Porcentaje de cumplimiento en la elaboración de campañas de sensibilización de los derechos que tutela el Instituto, planteadas en la Estrategia de difusión en redes sociales 2017.</t>
  </si>
  <si>
    <t xml:space="preserve">Producción de campañas de sensibilización de los derechos que tutela el Instituto contempladas en la Estrategia de difusión en redes sociales </t>
  </si>
  <si>
    <t>(Cantidad de campañas de sensibilización producidas como parte de la estrategia de difusión en redes sociales  / Cantidad de campañas de sensibilización planteadas en la Estrategia de difusión en redes sociales) *100</t>
  </si>
  <si>
    <t>Porcentaje de cumplimiento en el compromiso de elaboración de reportes de impacto en los medios a partir de las comunicaciones  generadas por el Instituto.</t>
  </si>
  <si>
    <t>Medición de impacto en los medios a partir de las diversas comunicaciones generadas por el Instituto.</t>
  </si>
  <si>
    <t>(Número de reportes mensuales acerca del impacto de  las comunicaciones institucionales realizados / Número de reportes mensuales acerca del impacto de las comunicaciones institucionales) * 100</t>
  </si>
  <si>
    <t>Porcentaje de cumplimiento de coberturas informativas de actividades institucionales del INAI solicitadas.</t>
  </si>
  <si>
    <t>Realización de coberturas informativas de actividades institucionales.</t>
  </si>
  <si>
    <t>(Coberturas informativas de actividades institucionales realizadas / Coberturas informativas de actividades institucionales solicitadas) * 100</t>
  </si>
  <si>
    <t>Porcentaje de cumplimiento en el compromiso de ejecución de estrategias de comunicación interna.</t>
  </si>
  <si>
    <t>Ejecución de estrategias de comunicación interna.</t>
  </si>
  <si>
    <t xml:space="preserve">(Número de estrategias de comunicación interna ejecutadas  / Número de estrategias de comunicación planeadas) * 100 </t>
  </si>
  <si>
    <t xml:space="preserve">Habría que considerar que para el caso de la encuesta nacional de percepción ciudadana hubo un cambio en la agencia encuestadora este año, cuya metodología de recopilación de la información pudo causar el alza en el resultado esperado. Igualmente, las coyunturas informativas en el año y la difusión del quehacer institucional pudieron haber influido en el resultado que superó el cálculo inicial.
Nota: El valor de la meta alcanzada anual para el Informe de Cuenta Pública es diferente al reportado en el Informe de Hacienda al 4o Trimestre debido a que la información proporcionada  por la agencia encuestadora para la medición de la percepción por parte de la ciudadanía, era errónea. </t>
  </si>
  <si>
    <t>El posicionamiento del Instituto entre los grupos de relación evaluados (sociedad en general, medios de comunicación), mejoró en mayor medida a lo esperado (aunque dentro de parámetros justificables), por lo que hay que tomar los resultados con cautela.</t>
  </si>
  <si>
    <t>No aplica. Al tratarse de un indicador cuya frecuencia de medición es bienal, la meta programada será reportada en 2018.</t>
  </si>
  <si>
    <t xml:space="preserve">Habría que considerar que para el caso de la encuesta nacional de percepción ciudadana hubo un cambio en la agencia encuestadora este año, cuya metodología de recopilación de la información pudo causar el alza en el resultado esperado. Igualmente, las coyunturas informativas en el año y la difusión del quehacer institucional pudieron haber influido en el resultado. En cuanto a la encuesta de comunicación interna, la entrada en funcionamiento de la Intranet hizo que se superar la expectativa de crecimiento.
El valor de la meta alcanzada anual para el Informe de Cuenta Pública es diferente al reportado en el Informe de Hacienda al 4o Trimestre debido a que la información proporcionada  por la agencia encuestadora para la medición de la percepción por parte de la ciudadanía, era errónea. </t>
  </si>
  <si>
    <t>Mejoró el posicionamiento de la identidad institucional en mayor medida de lo esperado, aunque dentro de parámetros justificables. Se continuará trabajando en el mismo sentido y se examinará si es necesario recalibrar la meta para 2018.</t>
  </si>
  <si>
    <t xml:space="preserve">Se logró alcanzar el 100% en todas las actividades correspondientes a este indicador. </t>
  </si>
  <si>
    <t xml:space="preserve">Se pudieron llevar a cabo toda las actividades del área en cumplimiento de los funciones asignadas. </t>
  </si>
  <si>
    <t>Se considera que se superaron las expectativas de aceptación de la Intranet INAI, lo cual motivo un alza en la calificación reportada.</t>
  </si>
  <si>
    <t>Se analizará la conveniencia de ajustar el objetivo buscado para 2018 considerando el incremento en la aceptación de los medios de comunicación interna, pero se continuará trabajando en el mismo sentido.</t>
  </si>
  <si>
    <t>Se cumplió con las 17 actividades calendarizadas para la realización de la campaña institucional</t>
  </si>
  <si>
    <t>Se difundió la campaña institucional INAI 2017, a través de radio, televisión y cuentas institucionales en redes sociales, en apego a una de las funciones encomendadas al área.</t>
  </si>
  <si>
    <t>Se debió ajustar el alcance de la propia campaña luego del recorte presupuestal que tuvo el área.</t>
  </si>
  <si>
    <t>Se cumplió con las 21 actividades calendarizadas para el levantamiento de la encuesta de percepción ciudadana 2017.</t>
  </si>
  <si>
    <t xml:space="preserve">Se cuenta con este insumo de interés para la toma de decisiones institucionales y de comunicación social en 2018, además de cumplir con una de las funciones del área. </t>
  </si>
  <si>
    <t>Se cumplió con la programación y transmisión de las 38 campañas de sensibilización contempladas para el año. Conviene anotar que estas cifras finales no contemplan las campañas de coyuntura solicitadas por otras áreas, únicamente se trata de aquellas que fueron programadas.</t>
  </si>
  <si>
    <t>Se difundió material cívico, educativo y cultual relacionado con los derechos que tutela el Instituto a través de las redes sociales en las que se participa y a través de video en YouTube, en cumplimiento de una de las funciones encomendadas al área.</t>
  </si>
  <si>
    <t>Se realizaron los cuatro informes trimestrales del área en los cuales se pueden observar los resultados de las 12 mediciones de impacto en medios de comunicación, así como otros indicadores de interés sobre el trabajo del área.</t>
  </si>
  <si>
    <t>Se cuenta con un panorama más claro de los alcances del trabajo realizado por el área de comunicación social institucional, lo cual ayuda a la mejor toma de decisiones en la materia.</t>
  </si>
  <si>
    <t xml:space="preserve">En el año se realizaron 292 coberturas de eventos como resultado del mismo número de peticiones de cobertura. </t>
  </si>
  <si>
    <t xml:space="preserve">Se pudo informar a la sociedad acerca de las actividades y eventos institucionales con oportunidad y precisión como parte de sus funciones de comunicación social institucional. </t>
  </si>
  <si>
    <t>Se cumplió con el lanzamiento de tácticas correspondientes a las 4 estrategias de comunicación interna planeadas para el año. A saber: 1.- Abrir, administrar y actualizar canales de comunicación con el personal; 2.- Informar y abrir la conversación a temas específicos de interés institucional; 3.- Desarrollar y apoyar dinámicas de ludificación y de inclusión para lograr mayor integración y compromiso del personal del Instituto; 4.- Lograr que la perspectiva del personal nutra el mensaje de orgullo y logro institucional.</t>
  </si>
  <si>
    <t>Las distintas tácticas y estrategias permitieron por primera vez planear, regular y medir las labores de comunicación interna institucional, a través de lo cual se buscará generar mejor integración y mayor identificación del personal con el Instituto y facilitar procesos relacionados con la labor institucional.</t>
  </si>
  <si>
    <t>A raíz de la publicación del Estatuto Orgánico el 17 de enero de 2017, la función de comunicación interna fue por primera vez explícitamente reconocida. La tarea fue asignada a la Dirección General de Comunicación Social y Difusión como parte de sus funciones.</t>
  </si>
  <si>
    <t>Para permitir una más justa comparación del resultado con el obtenido en 2016, se ajustó la meta de 6 a 6.2.</t>
  </si>
  <si>
    <t>Para permitir una más justa comparación del resultado con el obtenido en 2016, se aumentó la meta de 60% a 65%.</t>
  </si>
  <si>
    <t>O-001 - Actividades de apoyo a la función pública y buen gobierno</t>
  </si>
  <si>
    <t>500 - Contraloría</t>
  </si>
  <si>
    <t>500 - Órgano Interno de Control</t>
  </si>
  <si>
    <t>3 - Coordinación de la Política de Gobierno</t>
  </si>
  <si>
    <t>4 - Función Pública</t>
  </si>
  <si>
    <t>1 - Función pública y buen gobierno</t>
  </si>
  <si>
    <r>
      <t>Nivel:</t>
    </r>
    <r>
      <rPr>
        <sz val="9"/>
        <color indexed="9"/>
        <rFont val="Soberana Sans"/>
        <family val="3"/>
      </rPr>
      <t xml:space="preserve"> </t>
    </r>
    <r>
      <rPr>
        <b/>
        <sz val="9"/>
        <color indexed="9"/>
        <rFont val="Soberana Sans"/>
        <family val="3"/>
      </rPr>
      <t>Fin</t>
    </r>
  </si>
  <si>
    <t xml:space="preserve">Índice de Gestión para Resultados con enfoque de derechos humanos y perspectiva de género (IGpR) </t>
  </si>
  <si>
    <t>Contribuir a impulsar el desempeño organizacional y promover un modelo institucional de servicio público orientado a resultados con un enfoque de derechos humanos y perspectiva de género a través de que los servidores públicos del INAI se desempeñen con eficacia, eficiencia, economía, transparencia, legalidad y honradez; logren los objetivos y metas de los programas aprobados,  y actúen bajo los principios que rigen al servicio público.</t>
  </si>
  <si>
    <t xml:space="preserve">Suma ponderada del cumplimiento de metas de los servicios entregados (componentes) de la Contraloría </t>
  </si>
  <si>
    <t xml:space="preserve">Los servidores públicos del INAI se desempeñan con eficacia, eficiencia, economía, transparencia, legalidad y honradez; logran los objetivos y metas de los programas aprobados,  y actúan bajo los principios que rigen al servicio público. </t>
  </si>
  <si>
    <t>Suma ponderada de los componentes de la Contraloría Interna = ((.40)Componente 1 + (.20)Componente 2 + (.20)Componente 3 + (.20)Componente 4)x100</t>
  </si>
  <si>
    <t>Porcentaje de recursos auditados.</t>
  </si>
  <si>
    <t>Auditorías y revisiones practicadas.</t>
  </si>
  <si>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INAI) x 100</t>
  </si>
  <si>
    <t>Variación porcentual del número de observaciones emitidas.</t>
  </si>
  <si>
    <t>(((Número de recomendaciones emitidas en la medición actual) -  (número de recomendaciones emitidas en la medición inmediata anterior)/(número de recomendaciones emitidas en la medición anterior))*-1) *100</t>
  </si>
  <si>
    <t xml:space="preserve"> Tasa de variación</t>
  </si>
  <si>
    <t>Gestión-Eficiencia-Anual</t>
  </si>
  <si>
    <t>Porcentaje de procedimientos disciplinarios iniciados</t>
  </si>
  <si>
    <t xml:space="preserve">Responsabilidades administrativas determinadas de los servidores públicos. </t>
  </si>
  <si>
    <t xml:space="preserve"> (Número de procedimientos disciplinarios iniciados/Número de investigaciones concluidas)*100</t>
  </si>
  <si>
    <t>Porcentaje de procedimientos de contratación declarados nulos</t>
  </si>
  <si>
    <t>Procedimientos de contratación impugnados verificados.</t>
  </si>
  <si>
    <t>(Procedimientos de contratación declarados nulos / Total de procedimientos de contratación impugnados)*100</t>
  </si>
  <si>
    <t>Variación porcentual de observaciones preventivas emitidas en órganos colegiados  respecto al periodo inmediato anterior</t>
  </si>
  <si>
    <t xml:space="preserve">Observaciones preventivas emitidas en órganos colegiados  </t>
  </si>
  <si>
    <t>(((Número promedio de recomendaciones emitidas en la medición actual) -  (número promedio de recomendaciones emitidas en la medición inmediata anterior)/(número promedio de recomendaciones emitidas en la medición anterior))*-1)100</t>
  </si>
  <si>
    <t>Porcentaje de avance del programa anual de auditorías.</t>
  </si>
  <si>
    <t>Realización de auditorías.</t>
  </si>
  <si>
    <t>(avance real/avance programado) x 100</t>
  </si>
  <si>
    <t>Porcentaje de avance del programa anual de revisiones.</t>
  </si>
  <si>
    <t>Realización de revisiones.</t>
  </si>
  <si>
    <t>Porcentaje de avance en el programa anual de seguimientos.</t>
  </si>
  <si>
    <t>Realización de seguimientos de recomendaciones y acciones de mejora.</t>
  </si>
  <si>
    <t>Porcentaje de avance en la atención de quejas y denuncias presentadas por particulares</t>
  </si>
  <si>
    <t xml:space="preserve">Investigación o trámite de quejas y denuncias </t>
  </si>
  <si>
    <t>(número de quejas y denuncias concluidas/número de quejas y denuncias en trámite) x 100</t>
  </si>
  <si>
    <t>Porcentaje de avance en la instrucción de procedimientos disciplinarios.</t>
  </si>
  <si>
    <t>Instrucción o trámite de procedimientos disciplinarios</t>
  </si>
  <si>
    <t>(Número de procedimientos disciplinarios   resueltos/número de procedimientos disciplinarios iniciados) x 100</t>
  </si>
  <si>
    <t>Porcentaje de atención de procedimientos de sanción a proveedores, licitantes y contratistas</t>
  </si>
  <si>
    <t>Atención de procedimientos de sanción a proveedores, licitantes y contratistas</t>
  </si>
  <si>
    <t>(Número de procedimientos de sanción a proveedores, licitantes y contratistas resueltos/ número de procedimientos de sanción a proveedores, licitantes y contratistas en trámite) X 100</t>
  </si>
  <si>
    <t>Porcentaje de atención de inconformidades e intervenciones de oficio</t>
  </si>
  <si>
    <t xml:space="preserve">Atención de inconformidades e intervenciones de oficio </t>
  </si>
  <si>
    <t>(Número de inconformidades e intervenciones de oficio  resueltas/número de inconformidades e intervenciones de oficio  en trámite) x 100</t>
  </si>
  <si>
    <t>Porcentaje de participación en las sesiones de los órganos colegiados.</t>
  </si>
  <si>
    <t>Participación en la sesiones de los órganos colegiados.</t>
  </si>
  <si>
    <t>(Número de participaciones/número de sesiones realizadas) x 100</t>
  </si>
  <si>
    <t>El resultado se debe a que el menor cumplimiento registrado en el primero (95.95% de avance respecto a lo programado) y tercero (18.52% de avance respecto a lo programado), indicadores de componente se compensó con el cumplimiento del segundo (300% de avance respecto a lo programado), cuarto (200%de avance respecto a lo programado) y quinto (26.57% de avance respecto a lo programado) indicadores de componente, toda vez que en dichos casos se logró reducir el número de recomendaciones emitidas en la medición actual, los procedimientos de contratación declarados nulos por contravenir la normatividad y el número promedio de observaciones preventivas emitidas en órganos colegiados respecto al período inmediato anterior.  El indicador se calculó con base en el porcentaje de avance alcanzado respecto a las metas anuales programadas debido a que este refleja el avance real alcanzado para cada uno de los indicadores. Es necesario indicar que en el caso de los indicadores con comportamiento descendente, dicho porcentaje se calculó siguiendo la metodología indicada en la Guía para reportar el avance final respecto de las metas comprometidas en los indicadores para resultados registrados en el módulo de la cuenta pública del portal aplicativo de la Secretaría de Hacienda.</t>
  </si>
  <si>
    <t>Que se cumpla la misión de inhibir desviaciones e irregularidades en el manejo de los recursos asignados  al Instituto y contribuir a  mejorar prácticas y procesos administrativos.</t>
  </si>
  <si>
    <t>La variación se debe a que en uno de los contratos auditados quedó pendiente de aclaración parte de los recursos erogados en dicho contrato, por lo cual se emitió una observación a la unidad administrativa responsable, misma que está en proceso de atención.</t>
  </si>
  <si>
    <t>Disminuir el  porcentaje de recursos financieros que son observados por no ejercerse con apego a  los principios de eficacia, eficiencia, economía, transparencia, legalidad y honradez.</t>
  </si>
  <si>
    <t>La variación en el resultado se debe a que en 2017 se emitió una observación al ejercicio de los recursos financieros del INAI, lo que significó una reducción de 50% respecto de las 2 observaciones emitidas al ejercicio de los recursos financieros del INAI en el año anterior.</t>
  </si>
  <si>
    <t>Disminuir el número de observaciones y recomendaciones emitidas  al ejercicio de los recursos financieros del Instituto, como resultados de las auditorías que se practican por el Órgano Interno de Control..</t>
  </si>
  <si>
    <t>La variación se debe a que el número de investigaciones concluidas se quintuplicó respecto de las concluidas en el año anterior al pasar de 43 en 2016 a 231 en 2017, a causa del incremento en el número de quejas y denuncias tramitadas en 2017.</t>
  </si>
  <si>
    <t>Disminuir el  número de procedimientos de responsabilidades administrativas de los servidores públicos del Instituto, con motivo de las actividades preventivas y de acompañamiento realizadas por el Órgano Interno de Control.</t>
  </si>
  <si>
    <t>La variación se debió a que de los procedimientos de contratación impugnados y que fueron resueltos en el 2017, en ninguno se resolvió declarando la nulidad del procedimiento de contratación, lo que es un resultado favorable, porque refleja la mejora en la legalidad de las contrataciones.</t>
  </si>
  <si>
    <t>El debido cumplimiento de la normatividad aplicable en los procedimientos de contratación, con motivo de las observaciones realizadas en el Comité de Adquisiciones, Arrendamientos y Servicios y el Subcomité Revisor de Convocatorias.</t>
  </si>
  <si>
    <t>La variación fue debido a que atendiendo las observaciones previas, las unidades administrativas mejoraron la motivación y fundamentación de la documentación soporte de los procedimientos de contratación, lo que disminuyó la reincidencia de algunas observaciones.</t>
  </si>
  <si>
    <t>Mejoramiento en la elaboración de los procedimientos de contratación que se someten a revisión de los Órganos Colegiados.</t>
  </si>
  <si>
    <t>La variación se debe a que el plazo de ejecución de las auditorías 01-17 y 02-17 se extendió, principalmente por el volumen de la información revisada y porque una de las unidades administrativas auditada solicitó prórrogas para la entrega de la información que se le requirió, lo que originó que la auditoría 03 se iniciara hasta diciembre de 2017.</t>
  </si>
  <si>
    <t>Contribuir a que las Unidades Administrativas del Instituto cumplan con las disposiciones  normativas aplicables en el desempeño de sus funciones, mediante la realización del Programa Anual de Auditorías.</t>
  </si>
  <si>
    <t>La variación se debe a que el plazo de ejecución de la revisión 01-17 se extendió 2 semanas, debido a que la unidad administrativa revisada solicitó la suspensión temporal de dicha revisión a causa de la realización de la primera fase de verificación diagnóstica de cumplimiento de obligaciones de transparencia de los sujetos obligados del ámbito de su competencia.</t>
  </si>
  <si>
    <t>Contribuir a  la mejora de la gestión de las Unidades Administrativas del Instituto, mediante la realización del Programa Anual de Revisiones.</t>
  </si>
  <si>
    <t>La variación se debe a que durante el tercer trimestre no hubo observaciones ni recomendaciones pendientes de atención, y las que se emitieron en el segundo trimestre aún no vencía el plazo otorgado para su atención, por lo cual no se realizó seguimiento de éstas.</t>
  </si>
  <si>
    <t>Mejora de la actividad Institucional ,con la instrumentación de las observaciones y recomendaciones emitidas por el Órgano Interno de Control a la Unidades Administrativas fiscalizadas, a efecto de que subsanen las debilidades detectadas durante las auditorías y revisiones y para capitalizar las oportunidades de mejora recomendadas.</t>
  </si>
  <si>
    <t xml:space="preserve">La variación se debió al incremento registrado durante el año en el número de quejas y denuncias en trámite, el cual se quintuplicó respecto del registrado el año anterior, al pasar de 43 en 2016 a 231 en 2017. </t>
  </si>
  <si>
    <t>Se atendieron de manera adecuada las quejas y denuncias recibidas.</t>
  </si>
  <si>
    <t xml:space="preserve">La variación se explica porque se concluyó uno de los dos procedimientos iniciados, resultado que se considera favorable de acuerdo con el comportamiento del indicador que es ascendente. </t>
  </si>
  <si>
    <t>Se atendieron de manera adecuada los procedimientos disciplinarios instruidos.</t>
  </si>
  <si>
    <t>La variación se debió a que en un procedimiento no se pudo notificar al presunto infractor en su domicilio,  lo que motivó a que se solicitara ante diversas dependencias un nuevo domicilio y se acudiera sin encontrarlo, lo que ocasionó que  se notificara por edicto, por lo que el procedimiento no se pudo concluir en el 2017.</t>
  </si>
  <si>
    <t>Se atendieron de manera adecuada los procedimientos de sanción a proveedores, licitantes y contratistas.</t>
  </si>
  <si>
    <t>La variación se debió a que se resolvieron las 6 inconformidades que se tramitaron en 2017, lo que representó 50% más de lo programado. Lo anterior debido a que 3 inconformidades se encontraban en trámite al iniciar 2017, mismas que se concluyeron en dicho año; y de las 3 inconformidades que se iniciaron en 2017 también se concluyeron en el año, porque en 2 de ellas no se llevaron a cabo todas las etapas del procedimiento debido a que una se desechó por improcedencia, y otra no se tramitó en virtud de que el promovente no desahogó una prevención; y en la tercera, porque al no ampliarse la inconformidad ni formularse alegatos, se redujo el tiempo de tramitación. Se considera que el resultado de 100% es favorable de acuerdo con el comportamiento del indicador que es ascendente.</t>
  </si>
  <si>
    <t>Se atendieron de manera adecuada las inconformidades interpuestas.</t>
  </si>
  <si>
    <t>El resultado se debe a que el OIC participó en el 100% de las sesiones de los Órganos Colegiados.</t>
  </si>
  <si>
    <t>Contribuir a mejorar los procesos administrativos a cargo de las Unidades Responsables del Instituto.</t>
  </si>
  <si>
    <t>Derivado de las reuniones de valoración MIR realizadas con servidores públicos de la Dirección General de Planeación y Desempeño Institucional se acordó modificar la meta del Índice de GpR (nivel Fin).</t>
  </si>
  <si>
    <t>220 - Dirección General de Asuntos Internacionales</t>
  </si>
  <si>
    <t xml:space="preserve">Promover el pleno ejercicio de los derechos de acceso a la información pública y de protección de datos personales, así como la transparencia y apertura de las instituciones públicas. </t>
  </si>
  <si>
    <t>Secretaría Ejecutiva</t>
  </si>
  <si>
    <t>Porcentaje de satisfacción de las visitas internacionales al INAI para allegarse de buenas prácticas.</t>
  </si>
  <si>
    <t>Contribuir a promover el pleno ejercicio de los derechos de acceso a la información pública y de protección de datos personales, así como la transparencia y apertura de las instituciones públicas, a través de que el INAI y los órganos garantes de los Derechos de Acceso a la Información y Protección de Datos Personales de otros países, compartan y conozcan la experiencia institucional, así como las mejores prácticas.</t>
  </si>
  <si>
    <t>(Número de encuestas que reportan un nivel de satisfacción alto o superior / Total de encuestas realizadas)*100</t>
  </si>
  <si>
    <t>Porcentaje de buenas prácticas internacionales implementadas por los servidores públicos en el quehacer institucional respecto de las identificadas.</t>
  </si>
  <si>
    <t xml:space="preserve">Contribuir a promover el pleno ejercicio de los derechos de acceso a la información pública y de protección de datos personales, así como la transparencia y apertura de las instituciones públicas, a través de que el INAI y los órganos garantes de los Derechos de Acceso a la Información y Protección de Datos Personales de otros países, compartan y conozcan la experiencia institucional, así como las mejores prácticas. </t>
  </si>
  <si>
    <t>(Buenas prácticas internacionales implementadas / Buenas prácticas internacionales identificadas)x100</t>
  </si>
  <si>
    <t>Porcentaje de acciones internacionales  que aportan un beneficio institucional.</t>
  </si>
  <si>
    <t xml:space="preserve">El INAI y los órganos garantes de los Derechos de Acceso a la Información y Protección de Datos Personales de otros países, comparten y conocen la experiencia institucional y aprecian las mejores prácticas de otras instituciones. </t>
  </si>
  <si>
    <t xml:space="preserve">(Número de acciones que reportan un beneficio / Número total de acciones internacionales ejecutadas)x100 </t>
  </si>
  <si>
    <t>Porcentaje de acciones internacionales que derivan en recomendaciones de adopción de compromisos específicos de colaboración internacional.</t>
  </si>
  <si>
    <t>Promoción y vinculación internacional establecida.</t>
  </si>
  <si>
    <t>(Número de acciones que deriven en recomendaciones de adopción de compromisos específicos de colaboración internacional  / Número total de acciones internacionales ejecutadas)x100</t>
  </si>
  <si>
    <t>Porcentaje de participación en las actividades de las redes de las que el INAI forma parte.</t>
  </si>
  <si>
    <t xml:space="preserve">Trabajo en redes internacionales de las que forma parte el INAI </t>
  </si>
  <si>
    <t>[Número de actividades realizadas / Número de actividades programadas] * 100</t>
  </si>
  <si>
    <t>Porcentaje de las actividades internacionales realizadas por la DGAI</t>
  </si>
  <si>
    <t xml:space="preserve">Coordinación, participación y atención de comisiones internacionales, eventos organizados por el Instituto y visitas de delegaciones internacionales. </t>
  </si>
  <si>
    <t>[Número de actividades coordinadas / Número de actividades programadas] * 100</t>
  </si>
  <si>
    <t>Porcentaje de consultas atendidas.</t>
  </si>
  <si>
    <t xml:space="preserve">Desahogo de consultas e intercambio de buenas prácticas. </t>
  </si>
  <si>
    <t>[Número de consultas atendidas / Número de consultas recibidas] * 100</t>
  </si>
  <si>
    <t xml:space="preserve">Se reporta el resultado con un nivel de satisfacción alto de las cuatro encuestas que se realizaron a las cuatro delegaciones internacionales que visitaron el INAI.  </t>
  </si>
  <si>
    <t>Se cumplió con la meta programada en su totalidad; sin embargo, el resultado obtenido superó la meta anual programada en tanto que las cuatro visitas atendidas obtuvieron un nivel de satisfacción alto y al ser el primer año de medición del indicador, esta meta se superó.</t>
  </si>
  <si>
    <t xml:space="preserve">La DGAI identificó dos buenas prácticas internacionales derivado de la participación del INAI en las acciones internacionales programadas y se compartieron con dos unidades administrativas del Instituto, al momento se encuentran en proceso de implementación.  </t>
  </si>
  <si>
    <t xml:space="preserve">Se cumplió con la meta programada en su totalidad; sin embargo, el resultado obtenido superó la meta anual programada al ser el primer año de medición del indicador. </t>
  </si>
  <si>
    <t xml:space="preserve">Derivado de la participación de diversos funcionarios del INAI en 35 Foros internacionales a los que se asistió durante 2017, se detectó que la participación en cada uno de ellos derivó en intercambio de conocimiento para beneficio institucional. </t>
  </si>
  <si>
    <t>Se identificaron 15 acciones internacionales de las 48 ejecutadas que derivaron en sugerencias de la DGAI por adoptar compromisos puntuales de cooperación .</t>
  </si>
  <si>
    <t xml:space="preserve">Se cumplió con la meta programada en su totalidad. </t>
  </si>
  <si>
    <t xml:space="preserve">La DGAI y el INAI cumplieron con los compromisos asumidos en las redes de trabajo en las que participa. A los 11 compromisos programados se sumó la participación del INAI a través de la DGAI de participar en el Grupo de Trabajo de Estadística del Foro APPA, derivado de los acuerdos del último foro celebrado en diciembre de 2016. </t>
  </si>
  <si>
    <t>Porcentaje de las actividades internacionales realizadas por la DGAI.</t>
  </si>
  <si>
    <t>Se ejecutaron las 22 acciones internacionales programadas para la promoción y vinculación del INAI.</t>
  </si>
  <si>
    <t xml:space="preserve">Se atendieron 14 consultas recibidas en la DGAI. </t>
  </si>
  <si>
    <t>Se modifica mediante el oficio INAI/SE/DGAI/046/17 el avance trimestral en el cuál se manejaban un número determinado de actividades programadas, para lo cual al tercer trimestre el avance es de 100% (35/35) y se modifica a 100% (23/23). De conformidad con el acuerdo mediante el cual se aprueban los lineamientos en materia de austeridad y disciplina del gasto del INAI para el ejercicio 2017, publicado en el Diario Oficial de la Federación el 21 de febrero de 2017 y de las acciones del Plan de austeridad anunciadas por los Comisionados de este Instituto para el presente ejercicio fiscal, se redujo el presupuesto de esta Dirección General de Asuntos Internacionales en un 32% la partida de viáticos internacionales y la correspondiente a traslado de personas. Lo que provocó la reducción del número de comisiones internacionales y eventos programados por esta Unidad Administrativa.
Los trimestres que presentaron modificaciones son: Primero, segundo, tercero y cuarto.</t>
  </si>
  <si>
    <t>La variación entre la meta anual ajustada y el realizado al periodo muestra que el grado de avance e institucionalización de las prácticas e instrumentos de la gestión para resultados dentro del INAI fue mayor al planeado en 2017. En otras palabras, incrementa el valor público del Instituto al lograr mayor eficiencia, eficacia y efectividad del desempeño; buscar el logro de objetivos; e impulsar la mejora continua.</t>
  </si>
  <si>
    <t>250 - Dirección General de Capacitación</t>
  </si>
  <si>
    <t xml:space="preserve">Media geométrica del cumplimiento de las metas de los indicadores de capacitación en materia de acceso y protección de datos personales. </t>
  </si>
  <si>
    <t>Contribuir a promover el pleno ejercicio de los derechos de acceso a la información pública y de protección de datos personales, así como la transparencia y apertura de las instituciones públicas, mediante acciones de capacitación y formación educativa coordinadas, dirigidas a  sujetos regulados, sujetos obligados,  integrantes del Sistema Nacional de Transparencia en materia de transparencia, acceso a la información, protección de datos personales, archivo y temas relacionados.</t>
  </si>
  <si>
    <t>√(Porcentaje de cumplimiento del ICCT * Porcentaje de  capacitación y formación educativa)</t>
  </si>
  <si>
    <t>Estratégico - Eficacia - Anual</t>
  </si>
  <si>
    <t>Porcentaje de sujetos regulados por la LFPDPPP de sectores estratégicos que aplican conocimientos en materia de protección de datos personales</t>
  </si>
  <si>
    <t>(número de sujetos regulados por la LFPDPPP del sector estratégico que fueron capacitados y que aplicaron conocimientos del sector m/ número de sujetos regulados por la LFPDPPP del sector estratégico que recibieron capacitación en materia de datos personales)*(Wm) + (número de sujetos regulados por la LFPDPPP del sector estratégico que fueron capacitados y que aplicaron conocimientos del sector m+1/ número de sujetos regulados por la LFPDPPP del sector estratégico que recibieron capacitación en materia de datos personales)*(Wm+1)+…+ (número de sujetos regulados por la LFPDPPP del sector estratégico que fueron capacitados y que aplicaron conocimientos del sector n/ número de sujetos regulados por la LFPDPPP del sector estratégico que recibieron capacitación en materia de datos personales)*(Wn)
Dónde:
m= variable (número de sector estratégico)
Wm= Valor porcentual del ponderador</t>
  </si>
  <si>
    <t>Estratégico - Eficacia - Bienal</t>
  </si>
  <si>
    <t>Porcentaje de cumplimiento de los Sujetos Obligados de la Administración Pública Federal, con lo establecido en el (ICCT) Índice de Capacitación para el Fortalecimiento de una Cultura de Transparencia y Protección de Datos Personales (PCICCT)</t>
  </si>
  <si>
    <t>Los sujetos regulados, obligados, miembros del Sistema Nacional de Transparencia ,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</si>
  <si>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(Total de Sujetos Obligados de la APF con un ICCT igual o mayor a 50 puntos / Total de sujetos obligados con Programa de Capacitación en Transparencia y Acceso a la Información) * 100</t>
  </si>
  <si>
    <t>Porcentaje de aplicabilidad de la capacitación dirigida a sujetos regulados por la LFPDPPP en materia de protección de datos personales (PAC).</t>
  </si>
  <si>
    <t>(Número de sujetos regulados por la LFPDPPP que determinan es aplicable el conocimiento adquirido, en el tratamiento de datos personales /Número total de sujetos regulados por la LFPDPPP que reciben capacitación en materia de protección de datos personales)*100</t>
  </si>
  <si>
    <t>Promedio de enseñanza-aprendizaje de las acciones de capacitación presencial en Protección de Datos Personales
(PEADP)</t>
  </si>
  <si>
    <t>Programa de capacitación presencial implementado.</t>
  </si>
  <si>
    <t>(Sumatoria de Promedio de la Evaluación de Enseñanza Aprendizaje por curso en protección de datos personales / Número de acciones de capacitación en protección de datos personales)</t>
  </si>
  <si>
    <t>Gestión - Eficacia - Trimestral</t>
  </si>
  <si>
    <t>Promedio de calidad de las acciones de capacitación presencial en Protección de Datos Personales
PCDP</t>
  </si>
  <si>
    <t>(Sumatoria de Promedio de la Evaluación de Calidad por curso en protección de datos personales / Número de acciones de capacitación en protección de datos personales)</t>
  </si>
  <si>
    <t>Promedio de evaluación de enseñanza-aprendizaje de las acciones de capacitación presenciales en materia de Acceso a la Información y temas relacionados (PEAA)</t>
  </si>
  <si>
    <t>Sumatoria de la evaluación de enseñanza-aprendizaje de los cursos realizados en materia de acceso a la información y temas relacionados / Total de cursos  de capacitación realizados en materia de acceso a la información y temas relacionados en los que se aplicaron evaluaciones de enseñanza aprendizaje.</t>
  </si>
  <si>
    <t>Tasa de variación de Eficiencia Terminal de la capacitación en la modalidad en línea en protección de Datos Personales.
TVETDP</t>
  </si>
  <si>
    <t>Programa anual de Capacitación en línea  implementado</t>
  </si>
  <si>
    <t>TVETDP= ((PETDP de T) - (PETDP de T-1) / PETDP de T-1))*100
Tasa de variación de Eficiencia Terminal de la capacitación en la modalidad en línea en protección de Datos Personales (TVETDP) resulta de restar la eficiencia terminal del año en curso a la eficiencia terminal del año anterior, el resultado deberá ser mayor o igual a la meta de incremento establecida que es mayor o igual a 1%</t>
  </si>
  <si>
    <t>Gestión - Eficacia - Anual</t>
  </si>
  <si>
    <t>Porcentaje de servidores públicos que concluyen satisfactoriamente los cursos en línea disponibles en  los Campus dirigidos a Sujetos Obligados (PETCLA)</t>
  </si>
  <si>
    <t>(Total de participantes que concluyen y aprueban los cursos en línea de los Campus dirigidos a Sujetos Obligados / Total de participantes inscritos en los Campus dirigidos a Sujetos Obligados) * 100</t>
  </si>
  <si>
    <t>Gestión - Eficacia - Semestral</t>
  </si>
  <si>
    <t>Promedio de cumplimiento de acciones de Formación Educativa 
PCAFE</t>
  </si>
  <si>
    <t>Programa anual de Formación Educativa implementado</t>
  </si>
  <si>
    <t>PCAFE= (PDAFE+PECFE)/2</t>
  </si>
  <si>
    <t>Gestión - Eficiencia - Semestral</t>
  </si>
  <si>
    <t>Porcentaje de cumplimiento de acciones de capacitación en la modalidad presencial en materia de protección de datos personales, dirigidas a MiPYMES, Emprendedores.
(PCACP)</t>
  </si>
  <si>
    <t>Acciones de capacitación presencial en materia de protección de datos personales</t>
  </si>
  <si>
    <t>PCACP =  (ACR acciones de capacitación realizadas / ACP acciones de capacitación programadas)*100</t>
  </si>
  <si>
    <t>Porcentaje de cumplimiento de las metas establecidas en el programa de cursos de capacitación presenciales en materia de acceso a la información y temas relacionados  (PCA)</t>
  </si>
  <si>
    <t>Realización de cursos de capacitación presenciales en materia de acceso a la información y temas relacionados</t>
  </si>
  <si>
    <t>(Total de cursos de capacitación realizados en materia de acceso a la información y temas relacionados / Total de cursos programados en el año en materia de acceso a la información y temas relacionados) * 100</t>
  </si>
  <si>
    <t>Promedio de calificaciones de evaluaciones de calidad de los cursos presenciales en Acceso y temas relacionados (PCSA)</t>
  </si>
  <si>
    <t>Evaluación de calidad de los cursos de capacitación presenciales impartidos en materia de acceso a la información y temas relacionados.</t>
  </si>
  <si>
    <t>Sumatoria de las calificaciones obtenidas en las evaluaciones de calidad de los cursos de acceso a la información y temas relacionados / Total de cursos de acceso a la información y temas relacionados realizados y evaluados</t>
  </si>
  <si>
    <t>Gestión - Calidad - Trimestral</t>
  </si>
  <si>
    <t>Porcentaje de la implementación de los nuevos cursos en línea sobre la Ley General de Protección de Datos Personales, Clasificación de la Información y la Guía para la carga de información en el SIPOT (PICL)</t>
  </si>
  <si>
    <t>Desarrollo e implementación de dos cursos en línea sobre la Ley General de Protección de Datos Personales en Posesión de los Sujetos Obligados, Clasificación de la Información y una Guía para carga de información en el Sistema de Portales de Obligaciones de Transparencia</t>
  </si>
  <si>
    <t>(Avance realizado / avance programado) * 100</t>
  </si>
  <si>
    <t xml:space="preserve">Porcentaje de talleres realizados en los que se promueve la capacitación en línea </t>
  </si>
  <si>
    <t xml:space="preserve">Promoción de los cursos en línea a través de los Talleres de la Red Nacional para el Fortalecimiento de la Cultura de la Transparencia </t>
  </si>
  <si>
    <t>(Total de Talleres realizados en los que se promueve la capacitación en línea / Total de talleres programados) * 100</t>
  </si>
  <si>
    <t>Porcentaje de cumplimiento de las metas establecidas.
PMRD</t>
  </si>
  <si>
    <t xml:space="preserve">Implementación de un repositorio digital de protección de datos personales </t>
  </si>
  <si>
    <t>PMCL= Total de acciones realizadas/ Total de acciones programadas)*100</t>
  </si>
  <si>
    <t>Porcentaje de cumplimiento de las metas establecidas respecto al Diplomado en Protección de Datos Personales.
PCD</t>
  </si>
  <si>
    <t xml:space="preserve"> Servicio de impartición de un Diplomado en línea sobre protección de datos personales para dos generaciones.</t>
  </si>
  <si>
    <t>PCD= (Total de acciones realizadas/ Total de acciones programadas)* 100</t>
  </si>
  <si>
    <t>Porcentaje de cumplimiento de las metas establecidas respecto al desarrollo de las acciones del programa de Maestría en Derecho en el campo del conocimiento del Derecho a la Información.
PCM</t>
  </si>
  <si>
    <t>Maestría en Derecho con orientación en Derecho a la Información (3o y 4o semestre)</t>
  </si>
  <si>
    <t>PCM= (Total de acciones realizadas/ Total de acciones programadas)* 100</t>
  </si>
  <si>
    <t>Porcentaje de cumplimiento de las metas establecidas respecto al Aula Iberoamericana en Protección de Datos Personales.
PCA</t>
  </si>
  <si>
    <t xml:space="preserve"> Suscripción de convenios de colaboración académica mediante la instalación y formalización de la Comisión de Seguimiento con instituciones de educación superior para la inclusión del Aula Iberoamericana de Protección de Datos</t>
  </si>
  <si>
    <t>PCA = (Instalación y formalización de Comisión de Seguimiento / Convenios de colaboración académica firmados) * 100</t>
  </si>
  <si>
    <t>Porcentaje de cumplimiento de las metas de capacitación especializada (PCCE)</t>
  </si>
  <si>
    <t xml:space="preserve"> Realización de acciones de capacitación presencial especializada en materia de acceso a la información y temas relacionados, impartidas por instructores de las direcciones generales sustantivas del INAI </t>
  </si>
  <si>
    <t>(Total de cursos de capacitación especializada realizados  / Total de cursos de capacitación especializada programados en el año) * 100</t>
  </si>
  <si>
    <t>Porcentaje de atención a solicitudes de capacitación en acceso a la información, protección de datos personales y archivos concertadas con los Estados (PASE)</t>
  </si>
  <si>
    <t xml:space="preserve"> Realización de acciones de capacitación en acceso a la información, protección de datos personales, archivos y temas relacionadas impartidas en los Estados.</t>
  </si>
  <si>
    <t>(Total de cursos de capacitación realizados en los Estados / Total de cursos de capacitación concertados con los órganos garantes en el año) * 100</t>
  </si>
  <si>
    <t>Porcentaje de cumplimiento de las metas de capacitación presencial del Programa de Vinculación con Asociaciones y Cámaras del Sector .
(PCPV)</t>
  </si>
  <si>
    <t>Capacitación en el  Programa de Vinculación con Asociaciones y Cámaras del Sector</t>
  </si>
  <si>
    <t>(Total de cursos de capacitación realizados en protección de datos personales del Programa de Vinculación con Asociaciones y Cámaras del Sector  / Total de cursos programados en protección de datos personales) * 100</t>
  </si>
  <si>
    <t>Gestión - Eficiencia - Trimestral</t>
  </si>
  <si>
    <t xml:space="preserve">Causas: durante los tres 3 años en los que se ha reportado el comportamiento del indicador, las causas que han originado que la meta 2017 se haya superado en un 62.50 % son las siguientes: 1) en 2015 se partió de una línea base de 48 sujetos obligados con programa, que tuvieron 50 puntos o más de acuerdo a una fórmula que establecía la sumatoria de sujetos obligados con 50 o más; 2) en 2016 se modificó la fórmula del Indicador a un porcentaje del total de sujetos obligados con programa que obtuvieran 50 puntos o más, pero en ese año, la medición del indicador solamente tomó en cuenta las variables de capacitación, sin considerar las de impacto por los cambios en la normatividad en la materia, de acuerdo a explicaciones que en su momento proporcionó la Dirección General de Evaluación; 3) para 2017, no se tenía una línea base de acuerdo a la nueva fórmula y se estableció como meta que el 50% de los sujetos obligados con Programa obtuvieran una calificación de 50 puntos o más, sin embargo, debido a que la nueva Ley de la materia dispuso la obligatoriedad para los Sujetos Obligados de contar con programas de capacitación en la materia, a la intensa promoción de la capacitación que realizaron los Enlaces de Capacitación en sus Instituciones y a que por primera vez, se darían a conocer los resultados del Indicador  la meta se superó en el porcentaje ya mencionado. </t>
  </si>
  <si>
    <t xml:space="preserve">Lo anterior tuvo dos efectos positivos: 1) generó una competencia positiva frente a un porcentaje alto de sujetos obligados con programa que obtuvieron 50 o más puntos en el indicador de impacto de la capacitación y 2) va a permitir sentar las bases para definir con mayor precisión tanto la fórmula de medición como la meta para 2018. </t>
  </si>
  <si>
    <t>Tratándose de un indicador complejo, de reciente diseño y aplicación es necesario observar su comportamiento durante al menos unos tres años más para lograr estabilizarlo y poder ver en qué medida los sujetos obligados implementan acciones de capacitación en la materia, dirigidas a mejorar las respuestas a las solicitudes de información y fomentar la cultura de transparencia, acceso a la información, rendición de cuentas y protección de datos personales.</t>
  </si>
  <si>
    <t>Esta fue la primera medición del indicador, la cual tuvo como finalidad medir la percepción de los participantes, respecto del nivel de aplicabilidad de los conocimientos adquiridos en las acciones de capacitación presencial, lo cual se realizó a través de la ficha de evaluación de calidad. Se consideraron los cursos impartidos por la Dirección General de Capacitación.</t>
  </si>
  <si>
    <t>La Evaluación de enseñanza aprendizaje reportó un óptimo aprovechamiento de los contenidos impartidos. Es importante señalar, que la diferencia en décimas que se presenta en la sumatoria anual, se debe a que en el momento del corte, principalmente en la última semana del trimestre, existen cursos que aún se encuentran en proceso de evaluación, por lo que la información de algunos cursos realizados era preliminar.</t>
  </si>
  <si>
    <t>El promedio anual alcanzado reporta que la opinión de los participantes respecto al desempeño del instructor, el objetivo y contenido de los cursos, así como la utilidad y oportunidad, fueron evaluados satisfactoriamente. Es importante señalar, que la diferencia en décimas que se presenta en la sumatoria anual, se debe a que en el momento del corte, principalmente en la última semana del trimestre, existen cursos que aún se encuentran en proceso de evaluación, por lo que la información de algunos cursos realizados era preliminar.</t>
  </si>
  <si>
    <t>La evaluación de calidad se realiza con base en una escala de 5 (inaceptable) a 10 (excelente). El promedio alcanzado da cuenta de una valoración sumamente positiva de los participantes, en relación con la adecuada combinación de los aspectos que se involucraron para el buen desarrollo de las acciones de capacitación realizadas.</t>
  </si>
  <si>
    <t xml:space="preserve">Uno de los requisitos para la acreditación de un curso presencial y obtención de la constancia, es que los participantes, como resultado de la presentación de la evaluación de enseñanza aprendizaje, logren el 100% de los aciertos en la evaluación, esto puede ser en diversos intentos y a través del Sistema de Administración de la Capacitación, SACP. Por este motivo, la calificación definitiva de enseñanza aprendizaje debe ser tomada en el momento en que los cursos están ya cerrados. El resultado final de la sumatoria de las calificaciones reportadas en los trimestres, tiene variaciones con la sumatoria de las calificaciones reportadas en el año, debido a que los cierres de trimestre en el informe no coinciden exactamente con los tiempos establecidos para el cierre de los cursos, por lo que algunas evaluaciones podrían haberse no sumado en su momento, pero sí en el cierre anual. </t>
  </si>
  <si>
    <t>Se realiza la difusión de los cursos del Campus Iniciativa Privada del CEVINAI, en los comunicados enviados a sujetos regulados por la Dirección de Capacitación de Datos Personales.</t>
  </si>
  <si>
    <t>Las acciones de difusión realizadas impactaron en el incremento de la eficiencia terminal. Es importante, señalar que a finales del mes de diciembre se realizaron actividades enfocadas al mantenimiento del Campus Iniciativa Privada del CEVINAI, que consistieron en el análisis y depuración de los participantes inscritos en los cursos que se ofertan en dicho Campus.</t>
  </si>
  <si>
    <t>El porcentaje de eficiencia terminal de 93% establecido en la meta, se superó al obtener el  98.09%. Este efecto positivo se atribuye también a que los Enlaces de Capacitación Se logró superar la meta ya que los cursos en línea se han posicionado como la mejor opción para lograr la capacitación en la materia.</t>
  </si>
  <si>
    <t>Con relación a la meta establecida, se obtuvo un incremento de 1 punto porcentual en promedio, lo que representa una ejecución adecuada de las actividades previstas, infiriéndose el buen aprovechamiento académico por parte de los participantes en las acciones de formación educativa impulsadas por el Instituto. Es importante señalar, conforme a la Justificación de la Variación, realizada en el primer semestre de 2017, que el Resultado Anual que aquí se presenta, se obtuvo tanto del promedio anual de la evaluación de desempeño académico de los participantes en las acciones de formación educativa, así como del promedio anual de las evaluaciones de calidad de dichas acciones, de acuerdo con la información reportada por las instituciones educativas.</t>
  </si>
  <si>
    <t>Con la implementación de las acciones de Formación Educativa se contribuyó al cumplimiento de las atribuciones del Instituto, puesto que se promovió el adecuado conocimiento de los derechos de acceso a la información y protección de datos personales, entre los distintos sectores y públicos objetivo participantes.</t>
  </si>
  <si>
    <t>Se cumplió la meta al realizar los 55 cursos que se tenían programados.</t>
  </si>
  <si>
    <t xml:space="preserve">En los cursos impartidos asistieron 1,283 participantes; 53.15 % mujeres y 46.84 % hombres. </t>
  </si>
  <si>
    <t xml:space="preserve">En 349 acciones de capacitación, los participantes evaluaron la calidad de las mismas (cumplimiento de objetivos, desempeño del instructor) resultando un promedio de 9.44. Estas evaluaciones las realizan los participantes a través del sistema SACP, en un periodo de 3 a 5 días posteriores a la terminación del curso, por ello, es importante aclarar que el resultado final de la sumatoria de las calificaciones reportadas en los trimestres, tiene variaciones con la sumatoria de las calificaciones reportadas en el año. Esto se debe a que los cierres de trimestre en el informe, no coinciden exactamente con los tiempos establecidos para el cierre de los cursos y por tanto, de los periodos para la realización de las evaluaciones, por lo que algunas de ellas podrían no haberse sumado en su momento, pero sí lo están en la sumatoria expresada en el cierre anual. </t>
  </si>
  <si>
    <t xml:space="preserve">El resultado final y cierre del año muestra un promedio de 9.44 cerca de la meta establecida que fue de 9.5.   </t>
  </si>
  <si>
    <t>Se concluyeron en tiempo los dos cursos en línea programados con los temas de la Ley General de Protección de Datos Personales en Posesión de los Sujetos Obligados y el de Clasificación de la Información, así como la Guía Instructiva para el Uso del SIPOT, y su actualización con las últimas mejoras realizadas al Sistema.</t>
  </si>
  <si>
    <t xml:space="preserve">Los cursos y la Guía, se pusieron a disposición de los servidores públicos e integrantes de los sujetos obligados en el Centro Virtual de Capacitación INAI, CEVINAI. Adicionalmente la Guía para el uso del SIPOT, con la finalidad de facilitar el acceso a todas las personas, inclusive a las de los Estados de la República, se colocó en el Portal del Instituto. </t>
  </si>
  <si>
    <t>Durante el año se realizaron 13 talleres de la Red con sujetos Obligados del Ámbito Federal. En estos talleres, se llevó se invitó a los Enlaces de Capacitación a promocionar la capacitación en línea en sus instituciones ya que es la modalidad que ofrece diversas ventajas en cuanto a contenidos homogéneos, ampliación de la cobertura de capacitación, reducción de costos y rompimiento de barreras de tiempo y espacio. Es importante mencionar que en el tercer trimestre se reportó la cantidad acumulada cuando no debería ser el caso.</t>
  </si>
  <si>
    <t>La meta se cumplió al 100%, ya que los talleres de la Red realizados para planear y dar seguimiento a las acciones de capacitación, se llevaron a cabo con la participación de 479 Enlaces de Capacitación de los Sujetos Obligados y de Órganos Garantes. En todos los casos, se realizó la promoción de la capacitación en línea, teniendo un buen resultado, el incremento de la participación en un 6.4% con relación al año anterior.</t>
  </si>
  <si>
    <t>Por primera vez se ha puesto a disposición de los usuarios del Campus Iniciativa Privada del CEVINAI, un repositorio digital con diversos tipos de materiales didácticos, como pueden ser: presentaciones de cursos, manuales del participante, normatividad, etc.</t>
  </si>
  <si>
    <t>Toda persona con acceso a Internet, cuenta con la posibilidad de consultar los materiales disponibles; es decir, no se requiere la generación de una cuenta; siendo esto un incentivo para que las personas que los consultan se interesen en la capacitación en línea, que de manera permanente se oferta en dicho Campus.</t>
  </si>
  <si>
    <t>Se concluyó la impartición de las dos generaciones del Diplomado en Protección de Datos Personales en Posesión de los Particulares, con la participación de 126 alumnos que concluyeron los cuatro módulos: 46.8% mujeres y 53.2% hombres</t>
  </si>
  <si>
    <t>Se amplió la cobertura de participantes mediante la implementación de las dos generaciones previstas en el tiempo establecido.</t>
  </si>
  <si>
    <t>Se concluyó la impartición de la Maestría en Derecho, en el campo de conocimiento del Derecho a la Información, lográndose una eficiencia terminal del 100%, es decir no se presentaron deserciones (35 participantes inscritos que concluyeron los dos semestres del Plan de estudios considerados para 2017: 66% mujeres y 34% hombres).</t>
  </si>
  <si>
    <t>El Instituto aportó en la formación de profesionales en la materia, que en ejercicio de sus atribuciones aplicarán el conocimiento adquirido, en las diferentes funciones que desempeñen, contribuyendo con ello al fortalecimiento de la cultura de transparencia.</t>
  </si>
  <si>
    <t>Se logró la firma de dos Convenios de Colaboración Académica con la Universidad Autónoma del Estado de Morelos, así como con la Universidad de Guanajuato, para la implementación del Aula Iberoamericana de Protección de Datos Personales en Posesión de los Particulares.</t>
  </si>
  <si>
    <t xml:space="preserve">En total, durante el año, se realizaron 64 cursos especializados, es decir, un curso adicional a los programados (63. </t>
  </si>
  <si>
    <t xml:space="preserve">Se dio cumplimiento a la meta establecida y se realizó un curso adicional a lo programado. La Capacitación Especializada, se imparte con instructores internos de las áreas sustantivas del INAI. En éstos 64 cursos realizados con instructores internos, se capacitó a un total de 2,601 servidores públicos e integrantes de los sujetos obligados de los cuales 52.4% son mujeres y 47.6% son hombres. </t>
  </si>
  <si>
    <t xml:space="preserve">Se llevaron a cabo 70 acciones de capacitación en los estados para impartir temas sobre SIPOT, Archivos y Protección de Datos Personales. </t>
  </si>
  <si>
    <t>Se cumplió la meta programada. Esta capacitación, se lleva a cabo en el marco del Sistema Nacional de Transparencia y participan como instructores, personal de diversas áreas de la institución. En las 70 acciones de capacitación realizadas y dirigidas a personal de órganos garantes y sus sujetos obligados se contó con la participación de 3,252 servidores públicos (54.3% mujeres y 45.7% hombres).</t>
  </si>
  <si>
    <t>Se realizaron 32 de 33 acciones que se tenían programadas.</t>
  </si>
  <si>
    <t>Se inició la capacitación al Sector Sindical en materia de la LFPDPPP, una vez que, en la Ley General de Protección de Datos Personales en Posesión de Sujetos Obligados (Art 1), se definió a los sindicatos como sujetos regulados de la Ley Federal. Participaron 75 sindicatos.</t>
  </si>
  <si>
    <t>Porcentaje de cumplimiento de los Sujetos Regulados que logren la obtención del reconocimiento PRE.</t>
  </si>
  <si>
    <r>
      <t xml:space="preserve">No aplica. </t>
    </r>
    <r>
      <rPr>
        <sz val="9"/>
        <color indexed="10"/>
        <rFont val="Soberana Sans"/>
        <family val="3"/>
      </rPr>
      <t>Se elimina el indicador mediante el oficio INAI/SE/DGC/056/17</t>
    </r>
    <r>
      <rPr>
        <sz val="9"/>
        <color indexed="8"/>
        <rFont val="Soberana Sans"/>
        <family val="3"/>
      </rPr>
      <t>. La Secretaría de Protección de Datos consideró necesaria la cancelación del proyecto debido a que se va a estudiar con mayor profundidad la pertinencia de su realización.</t>
    </r>
  </si>
  <si>
    <t>Porcentaje de cumplimiento de las acciones necesarias para el diseño e implementación del Reconocimiento a Sujetos Regulados.</t>
  </si>
  <si>
    <t>Se continuará impulsando la obtención del Reconocimiento 100% Capacitados, por lo que se espera que el comportamiento de la eficiencia terminal sea similar a la del año anterior.</t>
  </si>
  <si>
    <r>
      <rPr>
        <sz val="9"/>
        <color indexed="10"/>
        <rFont val="Soberana Sans"/>
        <family val="3"/>
      </rPr>
      <t>Se elimina el indicador mediante el oficio INAI/SE/DGC/056/17</t>
    </r>
    <r>
      <rPr>
        <sz val="9"/>
        <color indexed="8"/>
        <rFont val="Soberana Sans"/>
        <family val="3"/>
      </rPr>
      <t>. La Secretaría de Protección de Datos consideró necesaria la cancelación del proyecto debido a que se va a estudiar con mayor profundidad la pertinencia de su realización.</t>
    </r>
  </si>
  <si>
    <t xml:space="preserve">En 2017, se inició la medición de este Indicador, lo que permitió contar con una primera información respecto de la percepción de los participantes en las acciones de capacitación presencial, insumo a considerar en la definición de las variables que se construirán para la evaluación de los resultados e impacto de la capacitación en próximos ejercicios. </t>
  </si>
  <si>
    <t xml:space="preserve">La evaluación de enseñanza aprendizaje se realiza con una escala de 0 a 10. El promedio alcanzado indica el cumplimiento de los objetivos de aprendizaje trazados en las acciones de capacitación impartidas y su aportación en la generación del conocimiento básico en los sujetos regulados, para la construcción de una cultura de respecto a la autodeterminación informativa. </t>
  </si>
  <si>
    <t>La suma final de las calificaciones promedio de las evaluaciones de enseñanza aprendizaje en los 340 cursos y talleres en los que se aplicó ésta evaluación fue de 3394.9, por lo que el promedio final resultó en 9.9. Este resultado fue positivo, ya que existe un incremento en el promedio con respecto al año anterior, esto como efecto del cambio en el procedimiento de la realización de la evaluación de Enseñanza aprendizaje a través del SACP y del establecimiento del requisito de lograr el 100% de los aciertos en la evaluación como condición para la obtención de la Constancia de Participación.</t>
  </si>
  <si>
    <t xml:space="preserve">El efecto  positivo de superar esta meta se atribuye a la intención de dar cumplimiento a los programas de capacitación establecidos por los Comités de Transparencia de los Sujetos Obligados y supervisados en su cumplimiento por los Enlaces de Capacitación que asisten a los Talleres de la Red con la intención de superar la calificación en el indicador y/o la obtención del Reconocimiento 100% Capacitados. por otro lado, el Centro Virtual de Capacitación CEVINAI, tiene como requisito para la obtención de la constancia de participación, a través de lograr el 100% de los aciertos en la evaluación de enseñanza aprendizaje. </t>
  </si>
  <si>
    <t>Con la formalización y firma de la Comisión de Seguimiento, se estableció el canal para la implementación de la materia en línea en materia de datos personales en las plataformas de cada una de las universidades, con la incorporación de la misma en la currícula educativa.</t>
  </si>
  <si>
    <t>240 - Dirección General de Gestión de la Información y Estudios</t>
  </si>
  <si>
    <t>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t>
  </si>
  <si>
    <t>Contribuir a promover el pleno ejercicio de los derechos de acceso a la información y de protección de datos personales, así como la transparencia y apertura de las instituciones públicas así como la mejora del desempeño en el cumplimiento de las diversas obligaciones de transparencia de los sujetos obligados en materia de Gestión Documental y Organización de Archivos, a través de la adopción de Modelos de Gestión Documental.</t>
  </si>
  <si>
    <t>Paso 1: (Calificación promedio del año actual en los componentes 1 y 2 del sujeto obligado 1 + ... N) - (Calificación promedio del año anterior en los componentes 1 y 2 del sujeto obligado 1 + ... N) / (Calificación promedio del año anterior en los componentes 1 y 2 del sujeto obligado 1 + ... N)
Paso 2: Tasa de variación promedio de los componentes 1 y 2 de todos los sujetos obligados que adoptaron el Sistema Institucional de Archivos del Sistema Nacional de Transparencia.</t>
  </si>
  <si>
    <t>Porcentaje de sujetos obligados que adoptan el MGD-RTA y aplican mejores prácticas en materia de gestión documental para facilitar el acceso a la información</t>
  </si>
  <si>
    <t>Los sujetos obligados realizan una gestión documental y organización de archivos de forma óptima</t>
  </si>
  <si>
    <t xml:space="preserve">(No. de Sujetos Obligados que a través del MGD-RTA aplican mejores prácticas para una adecuada gestión documental y organización de archivos/No. de Sujetos Obligados que adoptan el MGD-RTA para una adecuada gestión documental y organización de archivos) X 100 </t>
  </si>
  <si>
    <t>Porcentaje de cumplimiento de la estrategia de vinculación nacional y la Agenda Internacional del INAI.</t>
  </si>
  <si>
    <t xml:space="preserve">Estrategia de vinculación nacional y agenda internacional del INAI ejecutada </t>
  </si>
  <si>
    <t>(Acciones de vinculación realizadas / acciones de vinculación autorizadas) X 100</t>
  </si>
  <si>
    <t xml:space="preserve">Porcentaje de sujetos obligados que adoptan el MGD-RTA y cumplen el nivel INICIAL del Modelo </t>
  </si>
  <si>
    <t>Modelo de Gestión Documental implementado</t>
  </si>
  <si>
    <t>(No. de sujetos obligados que adoptan el MGD-RTA y cumplen el nivel INICIAL del Modelo/No. de sujetos obligados que adoptan el Modelo de Gestión Documental de la RTA) X 100</t>
  </si>
  <si>
    <t>Porcentaje de satisfacción en la organización de seminarios y eventos en gestión documental</t>
  </si>
  <si>
    <t>Organización de seminarios y eventos en gestión documental.</t>
  </si>
  <si>
    <t>(Numero de asistentes encuestados con opinión positiva del evento/Número de asistentes encuestados) X 100</t>
  </si>
  <si>
    <t>Número de adhesiones a organismos nacionales e internacionales realizadas</t>
  </si>
  <si>
    <t>Adhesión a organismos nacionales e internacionales en el ámbito de la gestión documental y archivos.</t>
  </si>
  <si>
    <t>Número de adhesiones realizadas</t>
  </si>
  <si>
    <t>Adhesiones</t>
  </si>
  <si>
    <t>Porcentaje de participaciones en foros y eventos</t>
  </si>
  <si>
    <t>Participación en foros y eventos de gestión documental</t>
  </si>
  <si>
    <t xml:space="preserve">(Número de participaciones en eventos / Número de participaciones en eventos autorizadas por el Instituto) X 100 </t>
  </si>
  <si>
    <t>Número de Investigaciones realizadas.</t>
  </si>
  <si>
    <t>Realización de investigaciones en materia de gestión documental</t>
  </si>
  <si>
    <t>Investigaciones</t>
  </si>
  <si>
    <t>Porcentaje de publicaciones en materia de gestión documental y archivos</t>
  </si>
  <si>
    <t>Publicaciones en materia de gestión documental y archivos</t>
  </si>
  <si>
    <t xml:space="preserve">(Número de publicaciones realizadas / Número de publicaciones previstas en el Programa Anual de Publicaciones) X 100 </t>
  </si>
  <si>
    <t>Porcentaje de acciones de organización y conservación de archivos</t>
  </si>
  <si>
    <t>Organización y conservación de Archivos del INAI</t>
  </si>
  <si>
    <t xml:space="preserve">(Número de acciones de organización y conservación de archivos realizadas / Número de acciones de organización y conservación de archivos previstas en el PADA) X 100 </t>
  </si>
  <si>
    <t xml:space="preserve">Porcentaje de avance en las acciones de implantación del Modelo de Gestión Documental de la RTA en los sujetos obligados participantes </t>
  </si>
  <si>
    <t>Implantación del Modelo de Gestión Documental de la RTA (MGD-RTA)</t>
  </si>
  <si>
    <t>(Numero de acciones de implantación del MGD-RTA realizadas en los sujetos obligados participantes/Número de acciones de implantación del MGD-RTA programadas en los sujetos obligados participantes en el MGD de la RTA) X 100</t>
  </si>
  <si>
    <t>Porcentaje de avance en las acciones de asesoría y acompañamiento del Sistema Institucional de Archivos</t>
  </si>
  <si>
    <t>Asesoría y acompañamiento a los Órganos Garantes Estatales que aceptaron la invitación a participar en la implantación del Sistema Institucional de Archivos (SIA)</t>
  </si>
  <si>
    <t>(Número de acciones de asesoría y acompañamiento del SIA realizadas / Número de acciones de asesoría y acompañamiento del SIA programadas) X 100</t>
  </si>
  <si>
    <t xml:space="preserve">Porcentaje de avance del Proyecto </t>
  </si>
  <si>
    <t>Realización del Proyecto Especial: Migración de información del Sistema D-Mx al GD-Mx</t>
  </si>
  <si>
    <t>A1+A2+A3+An 
donde:
An= (Porcentaje de avance de la actividad n al trimestre) * (Porcentaje de contribución de la actividad al logro de la meta anual)/100</t>
  </si>
  <si>
    <t xml:space="preserve">Porcentaje de presupuesto ejercido </t>
  </si>
  <si>
    <t>(Presupuesto ejercido/Monto aprobado)* 100</t>
  </si>
  <si>
    <t>Derivado de que el Sistema de Autoevaluación del Modelo de Gestión Documental de la RTA se encuentra actualmente en revisión por representantes de dicha Red en Chile y España, el INAI fue el único sujeto obligado que se programó para dar seguimiento al ejercicio de autoevaluación.</t>
  </si>
  <si>
    <t>Contar con un Sistema de Autoevaluación del Modelo de Gestión Documental de la RTA actualizado, que permita establecer una metodología homogénea en la organización de archivos entre los sujetos obligados.</t>
  </si>
  <si>
    <t>Se identificó un error en el cálculo de la fórmula por lo que en la MIR2018 se contemplará un ajuste del porcentaje al 100%</t>
  </si>
  <si>
    <t>Los eventos a los que se asistió durante el 2017 fueron:
1. Día del Archivista (AGN) Marzo 2017
2. Congreso de Archivos y Transparencia (Universidad de Sonora)
3. 3° Seminario de la Red de Bibliotecas del Poder Judicial
4. 1er. Foro de Archivos Legislativos
5. V Encuentro de Egresados del Sistema de Información, Bibliotecología y Archivística de la Universidad de la Salle, Bogotá 
6. 27° Jornada Archivística del Instituto de Ciencias Archivísticas de Trieste y Maribor, Italia.
7. Conferencia Anual ICA 2017, Ciudad de México.
De manera adicional se realizaron las adhesiones y renovaciones a ICA, ALA, ARA y SAA.</t>
  </si>
  <si>
    <t>Se logró mayor presencia y participación del INAI en los eventos de gestión documental y administración de archivos.</t>
  </si>
  <si>
    <t xml:space="preserve">Derivado de que el Sistema de Autoevaluación del Modelo de Gestión Documental de la RTA se encuentra actualmente en revisión por representantes de dicha Red en Chile y España, el INAI fue el único sujeto obligado que se programó para dar seguimiento al ejercicio de autoevaluación. </t>
  </si>
  <si>
    <t>De 47 encuestas realizadas en el evento "Los archivos en la sociedad digital", 45 fueron satisfactorias en un rango de 8 a 10 de calificación.</t>
  </si>
  <si>
    <t>Mejora la percepción de los asistentes en los eventos realizados en materia de gestión documental.</t>
  </si>
  <si>
    <t>Se realizaron las adhesiones y renovaciones a ICA, ALA, ARA y SAA</t>
  </si>
  <si>
    <t>En esta actividad no existe diferencias de avances respecto a las metas programadas.</t>
  </si>
  <si>
    <t>Los eventos a los que se asistió durante el 2017 fueron:
1. Día del Archivista (AGN) Marzo 2017
2. Congreso de Archivos y Transparencia (Universidad de Sonora)
3. 3° Seminario de la Red de Bibliotecas del Poder Judicial
4. 1er. Foro de Archivos Legislativos
5. V Encuentro de Egresados del Sistema de Información, Bibliotecología y Archivística de la Universidad de la Salle, Bogotá 
6. 27° Jornada Archivística del Instituto de Ciencias Archivísticas de Trieste y Maribor, Italia.
7. Conferencia Anual ICA 2017, Ciudad de México.
El evento en que se contemplaba la participación del Instituto y al que no se asistió fue las Jornadas Internacionales de Acceso a la Informalización 2017, en Buenos Aires, Argentina.</t>
  </si>
  <si>
    <t>Se realizaron las siguientes investigaciones y estudios programados para el 2017:
1. Conservación de los expedientes laborales de los ex trabajadores del INAI
2. Tratamiento de datos personales en documentos y expedientes históricos
3. Instrumentos de control y consulta archivística como parte esencial en los procedimientos de búsqueda de información por parte de los sujetos obligados</t>
  </si>
  <si>
    <t>Se realizó la presentación y difusión de la reedición de los Cuadernos de la Serie Gestión de Documentos y Administración de Archivos, así como la publicación electrónica de las memorias del 4o.Seminario Internacional sobre Transparencia y Gestión Documental y de las JIAI-2016. No se realizó la publicación electrónica de el Foro "Balance sobre la iniciativa de la Ley General de Archivos".</t>
  </si>
  <si>
    <t>Se logró fortalecer la práctica de la gestión documental entre los sujetos obligados.</t>
  </si>
  <si>
    <t>Se dio cumplimiento a 23 de las 24 actividades programadas en el Plan Anual de Desarrollo Archivístico 2017.</t>
  </si>
  <si>
    <t>Se logró preservar y conservar en óptimas condiciones los documentos institucionales localizados en el Archivo de Concentración.</t>
  </si>
  <si>
    <t>Se cumplió con el 80% del avance de las acciones de implantación del MGD programadas.</t>
  </si>
  <si>
    <t>Contar con un avance significativo para la conformación de la metodología homogénea para la organización de archivos entre los sujetos obligados.</t>
  </si>
  <si>
    <t>Durante el 2017 se atendieron trece de las quince asesorías programadas por la Dirección General de Vinculación, Coordinación y Colaboración con Entidades Federativas en base a las solicitudes que le formularon los siguientes órganos garantes:
1. Baja California, 2. Guerrero, 3. Nuevo León , 4. San Luis Potosí, 5. Chihuahua, 6. Puebla, 7. Campeche, 8. Quintana Roo, 9. Veracruz, 10. Tamaulipas, 11. Nayarit, 12. Nuevo León y 13. Tlaxcala.
No obstante, se cancelaron las asesorías que se tenían programadas para 14. Estado de México y el 15. Baja California Sur, acordando reprogramarlas para 2018.</t>
  </si>
  <si>
    <t>Se logró coadyuvar con los órganos garantes a efecto de que sus sujetos obligados cuenten con un Sistema Institucional de Archivos.</t>
  </si>
  <si>
    <t>El cierre del proyecto no se pudo concretar debido a que se declaró desierto en dos ocasiones la adjudicación de prestación del servicio, el cual se realizará en el 2018.</t>
  </si>
  <si>
    <t>Una vez concretado el proyecto facilitará la conservación de la información generada por el Instituto desde su creación en un solo repositorio.</t>
  </si>
  <si>
    <t>Toda vez que no se realizó la adjudicación de la prestación del servicio, no se ejerció el recurso programado.</t>
  </si>
  <si>
    <t>Durante el 2017 no se concretó el proyecto especial.</t>
  </si>
  <si>
    <t>No se ajustaron metas de los indicadores establecidos.</t>
  </si>
  <si>
    <t>260 - Dirección General de Promoción y de Vinculación con la Sociedad</t>
  </si>
  <si>
    <t>Tasa de Incremento del Ejercicio del DAI</t>
  </si>
  <si>
    <t>Contribuir a promover el pleno ejercicio de los derechos de acceso a la información pública y de protección de datos personales, así como la transparencia y apertura de las instituciones públicas, a través de la vinculación con las Organizaciones de la Sociedad Civil y la extensión del conocimiento de los derechos entre la población en general.</t>
  </si>
  <si>
    <t>TIEDAI = ((((SI realizadas en el año / SI realizadas en el año anterior – 1) x 0.60) + (UR en el año / UR en el año anterior – 1) x 0.20) + (COT en el año / COT en el año anterior – 1) x 0.20))x100</t>
  </si>
  <si>
    <t>Índice de Ampliación de Participación de la Sociedad en el Conocimiento y Ejercicio del  DAI y DPDP</t>
  </si>
  <si>
    <t>IAPS= ((((SAIP año actual - SAIP Área Metropolitana año actual)/(SAIP año inmediato anterior - SAIP Área Metropolitana año inmediato anterior)-1) x 0.80)+(((SDP año actual - SDP Área Metropolitana año actual)/(SDP año inmediato anterior - SDP Área Metropolitana año inmediato anterior)-1) x 0.20)x100</t>
  </si>
  <si>
    <t>Tasa de crecimiento de solicitudes de acceso a la información pública y de acceso de datos personales</t>
  </si>
  <si>
    <t xml:space="preserve">Organizaciones de la Sociedad Civil y población en general conocen y ejercen sus derechos de acceso a la información y protección de datos personales </t>
  </si>
  <si>
    <t>TCS = ((SAI año actual + SADP año actual)-(SAI año inmediato anterior + SADP año inmediato anterior) / (SAI año inmediato anterior + SADP año inmediato anterior)) x 100</t>
  </si>
  <si>
    <t>Promedio de Satisfacción Ciudadana</t>
  </si>
  <si>
    <t>Asesoría oportuna y de calidad a la sociedad</t>
  </si>
  <si>
    <t>P= ∑SC t / NC t
Sumatoria de las calificaciones obtenidas en el año t, donde t refiere al ejercicio actual/Número de calificaciones obtenidas en el año t, donde t refiere al ejercicio actual.</t>
  </si>
  <si>
    <t>Porcentaje de personas sensibilizadas</t>
  </si>
  <si>
    <t>Realización de Transparencia en Red, de las Jornadas Cívicas sobre la Utilidad del Derecho de Acceso a la Información, de los Foros para la Protección de Datos Personales en Redes Sociales Digitales y del PROSEDE-INAI</t>
  </si>
  <si>
    <t>Porcentaje de personas sensibilizadas = (N° de personas sensibilizadas / N° de personas programadas a sensibilizar) x 100</t>
  </si>
  <si>
    <t>Tasa de Crecimiento de la Promoción de Derechos entre la Población</t>
  </si>
  <si>
    <t>Programa de Promoción de los Derechos de Acceso a la Información y Protección de Datos Personales Realizado</t>
  </si>
  <si>
    <t>TCPD= ((PPD0-PPD1) / PPD0)*100</t>
  </si>
  <si>
    <t>Tasa de Incremento de Participación en Certámenes</t>
  </si>
  <si>
    <t>Desarrollo de certámenes para la promoción de los derechos en sectores específicos de la población</t>
  </si>
  <si>
    <t>TIPC= [(A1-A0)/A0] *100</t>
  </si>
  <si>
    <t>Tasa de crecimiento de las personas registradas en la Semana Nacional de Transparencia</t>
  </si>
  <si>
    <t>Realización de la Semana Nacional de Transparencia</t>
  </si>
  <si>
    <t>TCSNT= [(P1-P0)/P0] *100</t>
  </si>
  <si>
    <t>Sin avance</t>
  </si>
  <si>
    <t>Porcentaje de presencia en ferias</t>
  </si>
  <si>
    <t>Presencia institucional en ferias</t>
  </si>
  <si>
    <t>PPF = (PR / PP) X 100</t>
  </si>
  <si>
    <t>Porcentaje de Fiestas de la Transparencia y Privacidad</t>
  </si>
  <si>
    <t>Organización de Fiestas de la Transparencia y Privacidad</t>
  </si>
  <si>
    <t>PFTYP = (FR / FP) x 100</t>
  </si>
  <si>
    <t>Porcentaje de textos dictaminados</t>
  </si>
  <si>
    <t>Cumplimiento del Programa Editorial</t>
  </si>
  <si>
    <t>PTD =  (TD/TP) x 100</t>
  </si>
  <si>
    <t>Porcentaje de presentación de publicaciones</t>
  </si>
  <si>
    <t>Presentación de publicaciones</t>
  </si>
  <si>
    <t>PPP = (ER / EP) x 100</t>
  </si>
  <si>
    <t>Porcentaje de horas de capacitación</t>
  </si>
  <si>
    <t>Capacitación al personal del Centro de Atención a la Sociedad, a través de cursos que fomenten su conocimiento y desarrollo institucional</t>
  </si>
  <si>
    <t>PHC = (HA/HP) x 100</t>
  </si>
  <si>
    <t>Tasa de incremento de proyectos registrados en el PROSEDE-INAI</t>
  </si>
  <si>
    <t>Implementación y coordinación del  Programa de Sensibilización de Derechos 2017 (PROSEDE-INAI)</t>
  </si>
  <si>
    <t>Tasa de incremento de proyectos registrados en PROSEDE = [(N° de proyectos registrados en el año / N° de proyectos registrados en el año anterior) - 1] x 100</t>
  </si>
  <si>
    <t>Tasa de incremento en los proyectos registrados en el PIT</t>
  </si>
  <si>
    <t>Realización de la 7° Edición del Premio a la Innovación en Transparencia</t>
  </si>
  <si>
    <t>Tasa de incremento en los proyectos registrados en el PIT = [(N° de proyectos registrados en el año / N° de proyectos registrados en el año anterior) -1] x 100</t>
  </si>
  <si>
    <t xml:space="preserve">Porcentaje de Jornadas Cívicas </t>
  </si>
  <si>
    <t>Realización de Jornadas Cívicas sobre la Utilidad Social del Derecho de Acceso a la Información</t>
  </si>
  <si>
    <t>Porcentaje de Jornadas Cívicas = (N° de jornadas cívicas realizadas / N° de jornadas cívicas programadas) x 100</t>
  </si>
  <si>
    <t>Porcentaje de eventos de sensibilización</t>
  </si>
  <si>
    <t>Concertación y ejecución de Transparencia en Red</t>
  </si>
  <si>
    <t>Porcentaje de eventos de sensibilización = (Eventos de sensibilización realizados / Eventos de sensibilización programados) x 100</t>
  </si>
  <si>
    <t>Porcentaje de foros realizados</t>
  </si>
  <si>
    <t>Realización de foros para la protección de datos personales en redes sociales digitales</t>
  </si>
  <si>
    <t>Porcentaje de foros realizados = (Foros para la protección de datos personales en redes sociales realizados / Foros para la protección de datos personales en redes sociales programados para realizar) x 100</t>
  </si>
  <si>
    <t>Porcentaje de actualización de la normatividad que rige la operación del Centro de Atención a la Sociedad</t>
  </si>
  <si>
    <t>Actualización de la normatividad del Centro de Atención a la Sociedad, a través de los acuerdos que apruebe el pleno del Instituto</t>
  </si>
  <si>
    <t>AN = (AR / AP) x 100</t>
  </si>
  <si>
    <t>Realización del Proyecto Especial: Mi CAS</t>
  </si>
  <si>
    <t>Se realizaron acciones para ampliar en la población el conocimiento y ejercicio del derecho de acceso a la información.</t>
  </si>
  <si>
    <t>Se alcanzó el 94.05% de la meta programada, logrando un incremento en el ejercicio del derecho de acceso a la información en la población.</t>
  </si>
  <si>
    <t>Se enfocaron los esfuerzos para realizar actividades fuera del área metropolitana.</t>
  </si>
  <si>
    <t xml:space="preserve">Si bien se alcanzó el 16.80% de la meta propuesta, se logró descentralizar la participación de la sociedad en el conocimiento y ejercicio de los derechos de acceso a la información y de protección de datos personales. </t>
  </si>
  <si>
    <t>Se realizaron acciones para ampliar en la población el conocimiento y ejercicio de los derechos de acceso a la información y de protección de datos personales.</t>
  </si>
  <si>
    <t xml:space="preserve">A pesar de alcanzar el 39.50% de la meta ajustada a partir de la recomendación realizada por la Auditoría Superior de la Federación, se sostiene el crecimiento del ejercicio de los derechos de acceso a la información y de protección de datos personales. </t>
  </si>
  <si>
    <t xml:space="preserve">Las actividades implementadas para operar los procedimientos de atención y los cursos adquiridos por el personal que conforma el centro de atención a la sociedad, permitieron fortalecer la calidad de las asesorías brindadas a la población. </t>
  </si>
  <si>
    <t xml:space="preserve">Se superó la meta programada, impactando en el incremento de la percepción positiva de la población respecto de las asesorías brindadas por el Centro de Atención a la Sociedad. </t>
  </si>
  <si>
    <t>Con las acciones realizadas en Transparencia en Red, en los Foros para la Protección de Datos Personales en Redes Sociales y con los proyectos implementados por las organizaciones de la sociedad civil en el PROSEDE-INAI, fue posible hacer llegar el conocimiento de los derechos de acceso a la información y de protección de datos personales a integrantes de organizaciones de la sociedad civil, de la comunidad académica y a la población en general.</t>
  </si>
  <si>
    <t xml:space="preserve">Se superó la meta, logrando que más personas conozcan acerca de los derechos de acceso a la información y de protección de datos personales, conozcan las herramientas y procedimientos para poder ejercerlos de manera detallada, así como identificar la utilidad de ejercerlos en beneficio propio y de las comunidades que atienden. </t>
  </si>
  <si>
    <t>La reducción en la realización y participación en ferias del libro y eventos, con base en el ahorro fijado en los topes presupuestales en las partidas sujetas a criterios de racionalidad, establecido en el Acuerdo del Pleno ACUERDO ACT-PUB-01/02/2017.05, mediante el cual se aprueban los Lineamientos en materia de austeridad y disciplina del gasto del Instituto Nacional de Transparencia, Acceso a la Información y Protección de Datos Personales, para el ejercicio fiscal 2017, publicado en el DOF el 21 de febrero de 2017; y derivado del fenómeno sísmico ocurrido el día diecinueve de septiembre de dos mil diecisiete en la ciudad de México, y por el cual se canceló la Semana Nacional de Transparencia 2017 y la conmemoración del Día Internacional del Derecho a Saber, entre otros.</t>
  </si>
  <si>
    <t xml:space="preserve">No se alcanzó la meta programada, ya que no fue posible interactuar en la promoción de los derechos de acceso a la información y de protección de datos personales con más personas según lo programado. </t>
  </si>
  <si>
    <t>Se realizaron acciones de difusión de los certámenes para promoverlos y con ello aumentar el número de participantes.</t>
  </si>
  <si>
    <t>Se superó la meta programada, siendo mayor el interés de la población por participar en los certámenes realizados para promover los derechos de acceso a la información y de protección de datos personales.</t>
  </si>
  <si>
    <t>Se programó realizar la SNT 2017, del 4 al 6 de octubre, con la temática “Balance y perspectivas a 3 años de la Reforma Estructural, Acceso, Datos y Archivos”, en la sede del INAI. 
Sin embargo, derivado del temblor registrado en la Ciudad de México el 19 de septiembre de 2017 y sobretodo atendiendo a lo señalado en el artículo 9 de la Declaratoria de Emergencia con motivo del fenómeno sísmico ocurrido el día diecinueve de septiembre de dos mil diecisiete en la Ciudad de México¨, emitida por el Gobierno de la Ciudad de México y publicada en la Gaceta Oficial de la Ciudad de México el día 20 de septiembre del 2017,  No. 159 Bis, VIGÉSIMA ÉPOCA que indica: (ARTÍCULO 9.- Se suspenden todos los eventos, concentraciones y espectáculos masivos en espacios públicos en la Ciudad de México durante la vigencia de la presente Declaratoria).</t>
  </si>
  <si>
    <t xml:space="preserve">Se canceló la SNT 2017. </t>
  </si>
  <si>
    <t xml:space="preserve">Se realizaron acciones de concertación que derivaron en el incremento de requerimientos para tener presencia institucional en ferias. </t>
  </si>
  <si>
    <t>Se superó la meta, situación que permitió promover los derechos de acceso a la información y de protección de datos personales en diferentes sectores de la población.</t>
  </si>
  <si>
    <t>Se realizaron las tres fiestas de la verdad programadas Fiesta de la Verdad, Colima; Fiesta de la Verdad, Xalapa y Fiesta de la Verdad, San Luis Potosí.</t>
  </si>
  <si>
    <t>Se cumplió con la meta programada, promoviendo los derechos de acceso a la información y de protección de datos personales en la población de tres entidades federativas.</t>
  </si>
  <si>
    <t>Se dictaminaron textos correspondientes a 6 de los 8 proyectos editoriales previstos en el Programa Editorial 2017, ya que en dos de los proyectos sus autores no lograron concluir la obra.</t>
  </si>
  <si>
    <t>No se alcanzó la meta, situación que impactó en la publicación de seis textos de divulgación.</t>
  </si>
  <si>
    <t xml:space="preserve">Se realizaron acciones que impactaron en la presentación de nueve publicaciones para divulgar el conocimiento de los derechos de acceso a la información y de protección de datos personales. </t>
  </si>
  <si>
    <t xml:space="preserve">Se superó la meta, logrando una mayor promoción de los derechos de acceso a la información y de protección de datos personales en la población. </t>
  </si>
  <si>
    <t>En promedio, el equipo del Centro de Atención a la Sociedad tomó 49.37 horas de cursos de capacitación.</t>
  </si>
  <si>
    <t xml:space="preserve">Se superó la meta, logrando fortalecer la calidad de las asesorías que brinda el personal del Centro de Atención a la Sociedad a los usuarios que atiende. </t>
  </si>
  <si>
    <t xml:space="preserve">Se realizaron acciones de difusión de la convocatoria en redes sociales y correo electrónico. </t>
  </si>
  <si>
    <t xml:space="preserve">Se superó la meta, logrando que un mayor número de organizaciones de la sociedad civil presenten proyectos para promover el conocimiento y ejercicio de los derechos de acceso a la información y de protección de datos personales. </t>
  </si>
  <si>
    <t xml:space="preserve">Se implementaron acciones para la difusión de la convocatoria en las redes sociales de las instituciones convocantes como se realiza cada año, en las redes sociales de la Dirección de Vinculación con la Sociedad y a través de oficios enviados a Universidades Autónomas, Gobiernos de las 32 entidades federativas, Organismos Constitucionales Autónomos, Poder Judicial, Poder Legislativo y Secretarías de Estado. </t>
  </si>
  <si>
    <t>Se superó la meta. Esta situación impactó en una mayor participación de distintos sectores de la población para generar proyectos que promueven la transparencia y la rendición de cuentas en la gestión pública a nivel federal, estatal y municipal.</t>
  </si>
  <si>
    <t>Se realizaron cuatro Jornadas Cívicas sobre la Utilidad Social del Derecho de Acceso a la Información en las que participaron integrantes de la sociedad civil, comunidad académica, sujetos obligados y población en general. Los temas abordados en torno al derecho de acceso a la información fueron: derechos de las mujeres, de la salud, transparencia presupuestaria y monitoreo al gasto público, y libertad de expresión.</t>
  </si>
  <si>
    <t>Se alcanzó la meta, lo que permitió promover la utilidad social del Derecho de Acceso a la Información en colaboración con organizaciones de la sociedad civil para que organizaciones civiles cuya agenda incluye el tema migratorio, comunidad académica, periodística y población en general, instrumenten el derecho de acceso a la información pública como una herramienta para fortalecer sus labores de incidencia, investigación, litigio y demás asuntos de interés en beneficio de la población con la que trabajan.</t>
  </si>
  <si>
    <t xml:space="preserve">Se realizaron acciones de sensibilización sobre los derechos de acceso a la información y de protección de datos personales coordinados principalmente con organizaciones de la sociedad civil organizada y la comunidad académica. </t>
  </si>
  <si>
    <t xml:space="preserve">Se superó la meta, logrando extender el conocimiento y ejercicio de los derechos de acceso a la información y de protección de datos personales a más integrantes de la sociedad civil organizada, de la comunidad académica y de la población en general. </t>
  </si>
  <si>
    <t xml:space="preserve">Se realizaron acciones para promover el conocimiento y ejercicio de la protección de datos personales en la comunidad educativa de cuatro entidades federativas. </t>
  </si>
  <si>
    <t>Se cumplió con la meta, sensibilizando en la comunidad educativa los riesgos que conlleva la publicación de datos personales en las redes sociales y por lo tanto, la importancia de su protección.</t>
  </si>
  <si>
    <t xml:space="preserve">Se realizaron las acciones necesarias para dar cumplimiento a la meta programada. </t>
  </si>
  <si>
    <t>Se alcanzó la meta programada, y el 14 de agosto se publicó en el Diario Oficial de la Federación el ACUERDO mediante el cual se aprueban las modificaciones a los Lineamientos que rigen la operación, el Manual de Procedimientos y las Políticas del Centro de Atención a la Sociedad del Instituto Nacional de Transparencia, Acceso a la Información y Protección de Datos Personales.</t>
  </si>
  <si>
    <t>Se implementaron acciones para optimizar gastos en la implementación del proyecto MiCAS.</t>
  </si>
  <si>
    <t xml:space="preserve">No se alcanzó la meta, situación que derivó en el ahorro del 39.29% del presupuesto asignado. </t>
  </si>
  <si>
    <t>Se realizaron las actividades que fueron programadas para la realización de las Caravanas por la Transparencia y la Privacidad.</t>
  </si>
  <si>
    <t>Se alcanzó la meta, que derivó en la realización de la Caravana por la Transparencia y la Privacidad en 25 ciudades.</t>
  </si>
  <si>
    <t>Mejorar la medición del desempeño de la Dirección General de Promoción y Vinculación con la Sociedad. El indicador pasó de ser bienal a anual por lo que se estableció una meta anual de 5.</t>
  </si>
  <si>
    <t>Mejorar la medición del desempeño de la Dirección General de Promoción y Vinculación con la Sociedad.</t>
  </si>
  <si>
    <t>Mejorar la medición del desempeño de la Dirección General de Promoción y Vinculación con la Sociedad. Metas de trimestres adecuadas: segundo y tercero. Se modificó la meta programada del segundo trimestre de 33% a 33.33% y la meta programada para el tercer trimestre pasó de 66% a 66.67%</t>
  </si>
  <si>
    <t>Mediante el oficio INAI/SE/DGPVS/614/2017 y en atención a la recomendación realizada por la Auditoria Superior de la Federación derivada de la Auditoría 128 GB2016 , se solicita el cambio de la MIR en el indicador con la finalidad de mejorar la medición  del desempeño de la DG. La meta del cuarto trimestre presentó adecuaciones. Aumentó de Aumentó de 5% a 19%.</t>
  </si>
  <si>
    <t>E003 - Coordinar el Sistema Nacional de Transparencia, Acceso a la Información y de Protección de Datos Personales.</t>
  </si>
  <si>
    <t>230 - Dirección General de Tecnologías de la Información</t>
  </si>
  <si>
    <t>Coordinar el Sistema Nacional de Transparencia y de Protección de Datos Personales, para que los órganos garantes establezcan, apliquen y evalúen acciones de acceso a la información pública, protección y debido tratamiento de datos personales.</t>
  </si>
  <si>
    <t>Índice de calidad en la entrega de soluciones tecnológicas innovadoras, accesibles y seguras para el ejercicio de los derechos de acceso a la Información y protección de datos personales y la promoción de una adecuada gestión documental</t>
  </si>
  <si>
    <t>Contribuir a coordinar el Sistema Nacional de Transparencia y de Protección de Datos Personales, para que los órganos garantes establezcan, apliquen y evalúen acciones de acceso a la información pública, protección y debido tratamiento de datos personales a través de la provisión a la población en general de herramientas de TIC oportunas y suficientes</t>
  </si>
  <si>
    <t>= (Nuevos sistemas implementados x 0.5 ) +
(Disponibilidad de los servicios del Centro de Procesamiento de Datos (CPD) x 0.3 )
+ (Satisfacción de usuarios x 0.2 )</t>
  </si>
  <si>
    <t>Índice de efectividad en la entrega de herramientas y servicios para el Sistema Nacional de Transparencia y de Datos Personales, así como los procesos sustantivos internos</t>
  </si>
  <si>
    <t>La población en general, los sujetos obligados y el INAI disponen de herramientas de TIC oportunas y suficientes, para el ejercicio de sus derechos y obligaciones en materia de transparencia y protección de datos personales</t>
  </si>
  <si>
    <t>Efectividad en la entrega de herramientas y servicios para el Sistema Nacional de Transparencia y de Datos Personales =
(Nuevos sistemas implementados x 0.5 ) +
(Disponibilidad de los servicios del Centro de Procesamiento de Datos (CPD) x 0.3 )
+ (Satisfacción de usuarios x 0.2 )</t>
  </si>
  <si>
    <t xml:space="preserve">Porcentaje de nuevos sistemas para el Instituto implementados </t>
  </si>
  <si>
    <t>Procesos sustantivos del Instituto automatizados y seguros</t>
  </si>
  <si>
    <t>= (Numero de nuevos sistemas concluidos o con avance en los tiempos y forma previstos / Total de nuevos sistemas autorizados) * 100</t>
  </si>
  <si>
    <t>Porcentaje de disponibilidad de los  servicios del Centro de Procesamiento de Datos (CPD)</t>
  </si>
  <si>
    <t xml:space="preserve">Servicios integrales en materia de TIC proporcionados  </t>
  </si>
  <si>
    <t>= (Número de horas disponibles /Número de horas totales) * 100</t>
  </si>
  <si>
    <t xml:space="preserve">Porcentaje anual de satisfacción de usuarios </t>
  </si>
  <si>
    <t>Programa de concientización sobre el aprovechamiento de las TIC desarrollado</t>
  </si>
  <si>
    <t>= (Número de respuestas satisfactorias  /Número total de preguntas de la encuesta) * 100</t>
  </si>
  <si>
    <t>Porcentaje de atención de requerimientos de nueva funcionalidad para la Plataforma Nacional de Transparencia</t>
  </si>
  <si>
    <t>Diseño de estrategias tecnológicas para habilitar o potencializar los procesos sustantivos de la Plataforma Nacional de Transparencia</t>
  </si>
  <si>
    <t>= (Número de desarrollos de la PNT concluidos o con avance en los tiempos y forma previstos / Total de desarrollos aprobados de la PNT) x 100</t>
  </si>
  <si>
    <t>Porcentaje de atención a los requerimientos de los sistemas del instituto implementados</t>
  </si>
  <si>
    <t>Diseño de estrategias tecnológicas para habilitar o potencializar procesos sustantivos</t>
  </si>
  <si>
    <t>= (Número de desarrollos concluidos o con avance en los tiempos y forma previstos / Total de desarrollos aprobados) x 100</t>
  </si>
  <si>
    <t>Porcentaje de solicitudes de soporte atendidos para la Plataforma Nacional de Transparencia</t>
  </si>
  <si>
    <t>Implementación y soporte a la operación de la Plataforma Nacional de Transparencia</t>
  </si>
  <si>
    <t>= (Número de soportes a la PNT atendidos en tiempo  / Total solicitudes de soporte) X100</t>
  </si>
  <si>
    <t>Porcentaje de solicitudes de soporte a aplicativos atendidos</t>
  </si>
  <si>
    <t>Implementación y soporte a operación de soluciones tecnológicas de procesos automatizados</t>
  </si>
  <si>
    <t>= (Número de soportes a aplicativos atendidos en tiempo  / Total solicitudes de soporte) X100</t>
  </si>
  <si>
    <t>Porcentaje de Publicaciones</t>
  </si>
  <si>
    <t>Difusión de buenas prácticas en relación a uso de TIC</t>
  </si>
  <si>
    <t>= (Número de publicaciones realizadas / número de publicaciones planeadas) x 100</t>
  </si>
  <si>
    <t>Porcentaje de usuarios con servicios de TIC completos</t>
  </si>
  <si>
    <t>Habilitación de TICs a los usuarios para el cumplimiento de sus responsabilidades</t>
  </si>
  <si>
    <t>´= (Reportes de incidentes resueltos / número de reportes totales) x 100</t>
  </si>
  <si>
    <t>Porcentaje de servicios de la mesa de servicios atendidos mediante el nivel de servicio establecido SLA no mayor a 4 hrs.</t>
  </si>
  <si>
    <t>Asesorías específicas (SIRVE)</t>
  </si>
  <si>
    <t>= (Reportes de incidentes resueltos no mayor a 4 hrs / número de reportes totales) x 100</t>
  </si>
  <si>
    <t>Gestión-Eficiencia-Trimestral</t>
  </si>
  <si>
    <t>Porcentaje de solicitudes de pruebas de penetración atendidos para los micrositios Institucionales</t>
  </si>
  <si>
    <t xml:space="preserve">Aplicación de Pruebas de Penetración (PENTEST) a los Micrositios </t>
  </si>
  <si>
    <t>'= (Solicitudes Resueltas / número de solicitudes totales) x 100</t>
  </si>
  <si>
    <t>Porcentaje de solicitudes de soporte a malware atendidos.</t>
  </si>
  <si>
    <t>Atención a solicitudes de soporte a malware</t>
  </si>
  <si>
    <t>Porcentaje de requerimientos de los sistemas del instituto implementados</t>
  </si>
  <si>
    <t xml:space="preserve">Estandarización y automatización de procesos </t>
  </si>
  <si>
    <t>Mejoramiento de los procesos automatizados</t>
  </si>
  <si>
    <t xml:space="preserve">Provisión de servicios integrales en materia de TIC </t>
  </si>
  <si>
    <t xml:space="preserve">Durante el 2017, se realizaron 35 nuevos sistemas y Micrositios web, que permitieron automatizar los procesos institucionales, así como promover el ejercicio de los derechos que tutela el Instituto. 
Lo anterior se apoyó en una alta disponibilidad del 98.16% de la infraestructura del Centro de Datos, infraestructura sobre la que operan los sistemas del Instituto, entre ellos la PNT. 
Adicionalmente se obtuvo una nota de satisfacción del 90.34% en la encuesta de los servicios provistos por la mesa de servicio SIRVE.
La correlación de los tres elementos anteriores, componen el resultado del indicador. Por lo que se cuenta con un 97% de efectividad en la entrega de herramientas y servicios para el Sistema Nacional de Transparencia y de Datos Personales. </t>
  </si>
  <si>
    <t>La efectividad alcanzada refleja el grado en que el Instituto provee a la población de soluciones tecnológicas innovadoras, accesibles y seguras para el ejercicio de los derechos de acceso a la información, protección de datos personales y gestión documental.</t>
  </si>
  <si>
    <t>La DGTI uso de forma eficiente los recursos disponibles, capitalizando una adecuada gestión de los proyectos, así como una alta percepción de calidad en el servicio de soporte.</t>
  </si>
  <si>
    <t>En el 2017, de los 35 nuevos sistemas y Micrositios web que se realizaron y que permitieron automatizar los procesos institucionales, así como promover el ejercicio de los derechos que tutela el Instituto, se destacan en el marco del SNT los siguientes sistemas: El Programa Nacional de Protección de Datos Personales (PRONADATOS), las Métricas de Gobierno Abierto, el Programa Nacional de Transparencia y Acceso a la información (PROTAI).
Lo anterior se apoyó en una alta disponibilidad del 98.16% de la infraestructura del Centro de Datos, infraestructura sobre la que operan los sistemas del Instituto, entre ellos la PNT. 
Adicionalmente se obtuvo una nota de satisfacción del 90.34% en la encuesta de los servicios provistos por la mesa de servicio SIRVE. 
La correlación de los tres elementos anteriores, componen el resultado del indicador. Motivo por el cual, se cuenta con un 97% de efectividad en la entrega de herramientas y servicios para el Sistema Nacional de Transparencia y de Datos Personales, así como de los procesos sustantivos internos.</t>
  </si>
  <si>
    <t>La población en general, los sujetos obligados y el INAI disponen de herramientas de TIC oportunas y suficientes, para el ejercicio de sus derechos y obligaciones en materia de transparencia y protección de datos personales.</t>
  </si>
  <si>
    <t>En el año se realizaron 35 nuevos sistemas y micrositios web, que permitieron automatizar procesos sustantivos para el instituto, así como promover el ejercicio de los derechos bajo la tutela del INAI.</t>
  </si>
  <si>
    <t>Durante el año se tuvo una disponibilidad de los servicios del CPD del 98.16 %.</t>
  </si>
  <si>
    <t>Los sujetos obligados y las Unidades Administrativas del INAI disponen de servicios, aplicaciones, sitios web, entre otros; para el ejercicio de sus derechos y obligaciones en materia de transparencia y protección de datos personales.</t>
  </si>
  <si>
    <t>De 167 encuestas recibidas el 90.34 % de los usuarios se encuentra satisfecho con los servicios de TIC proporcionados.</t>
  </si>
  <si>
    <t xml:space="preserve">En el año se realizaron 51 mejoras de funcionalidad a la PNT en sus diversos componentes como SIGEMI, SISAI, y SIPOT. </t>
  </si>
  <si>
    <t>Las mejoras realizadas a la PNT,  potencializan las actividades de los diversos sujetos obligados y órganos garantes.</t>
  </si>
  <si>
    <t xml:space="preserve">En el año se realizaron 94 mejoras de funcionalidad a los sistemas institucionales distintos de la PNT.  </t>
  </si>
  <si>
    <t>Las mejoras potencializan las actividades de las áreas internas del instituto que soporten sus actividades sustantivas a través de las herramientas tecnológicas existentes.</t>
  </si>
  <si>
    <t xml:space="preserve">Se atendieron 805 solicitudes de soporte técnico para la PNT. Soporte que refiere a la operación normal y solicitudes de apoyo como ocurre con cualquier sistema de información. </t>
  </si>
  <si>
    <t>La provisión del soporte permitió al Instituto brindar el apoyo requerido por sus áreas internas, así como a los organismos locales de transparencia.</t>
  </si>
  <si>
    <t xml:space="preserve">Se atendieron 5,053 solicitudes de soporte técnico para los aplicativos institucionales distintos de la PNT. Soporte que refiere a la operación normal y solicitudes de apoyo como ocurre con cualquier sistema de información. </t>
  </si>
  <si>
    <t>La provisión del soporte brinda el apoyo requerido a las áreas internas del Instituto, quienes a su vez brindan servicios a los sujetos obligados de la Federación, así como la población en general.</t>
  </si>
  <si>
    <t>Todos los InfoTIP´s y SeguriTIP´s programados para los trimestres 1, 2 y 4 fueron difundidos exitosamente, sin embargo para el tercer trimestre dos de ellos no se difundieron a causa del sismo del 19 de septiembre. Se mantiene el buen uso de las TIC´s en el ámbito de buenas prácticas y seguridad.</t>
  </si>
  <si>
    <t>La población del INAI se concientiza de manera gradual en el buen uso de las Tecnologías de la Información y Comunicación reduciendo el numero de incidencias y riegos de seguridad en sus equipos de cómputo.</t>
  </si>
  <si>
    <t>Todos los servidores públicos del INAI cuentan con el equipo de cómputo personal para el desempeño de sus funciones y atribuciones, sin embargo, se requiere de más equipo de cómputo personal y periféricos para poder atender los eventos, préstamos, salidas de comisión que realiza cada unidad administrativa durante el año, así como los nuevos puestos vacantes autorizados dentro de la Estructura del INAI.</t>
  </si>
  <si>
    <t>Los Servidores Públicos del INAI pueden ejercer y eficientar el desempeño de sus funciones y atribuciones mediante los servicios de TIC provistos.</t>
  </si>
  <si>
    <t>Todos los reportes presentados durante el año fueron atendidos sin embargo trece de ellos se encontraron fuera del nivel de servicio establecido. Actualmente el servicio tercerizado de mesa de ayuda y el equipo INAI que conforma la mesa de ayuda SIRVE se encuentran al limite de la operación por el crecimiento poblacional que se ha dado en el instituto por lo que se tendrán que tomar las medidas necesarias para mantener el nivel de servicio establecido.</t>
  </si>
  <si>
    <t>Todas las solicitudes de Pentesting presentadas durante el año fueron atendidas en tiempo y forma.</t>
  </si>
  <si>
    <t>En el año todas las incidencias de malware presentadas en los equipos de cómputo del instituto fueron erradicadas en tiempo y forma.</t>
  </si>
  <si>
    <t>Mitigar los riesgos de seguridad por malware y mantener la disponibilidad de los servicios de TIC para que los Servidores públicos del INAI ejerzan sus funciones y atribuciones.</t>
  </si>
  <si>
    <t>Se atendieron 805 solicitudes de soporte técnico para la PNT. Soporte que refiere a la operación normal y solicitudes de apoyo como ocurre con cualquier sistema de información. De esta manera el Instituto brinda el apoyo requerido a las áreas internas del Instituto así como a los organismos locales de transparencia. Por otra parte se realizaron 94 mejoras de funcionalidad a los sistemas institucionales distintos de la PNT.</t>
  </si>
  <si>
    <t>La provisión del soporte permitió al Instituto brindar el apoyo requerido por sus áreas internas, así como a los organismos locales de transparencia. Las mejoras potencializan las actividades de las áreas internas del instituto que soporten sus actividades sustantivas a través de las herramientas tecnológicas existentes</t>
  </si>
  <si>
    <t>La provisión del soporte brinda el apoyo requerido a las áreas internas del Instituto, quienes a su vez brindan servicios a los sujetos obligados de la Federación, así como la población en general. De esta manera los procesos automatizados son soportados durante el ciclo de vida de las actividades entregando valor.</t>
  </si>
  <si>
    <t>Durante el año se tuvo una disponibilidad de los servicios del CPD del 98.16 %, para poder elevar el nivel de disponibilidad se requiere contar con infraestructura en esquema de alta disponibilidad.</t>
  </si>
  <si>
    <t>Las áreas internas del Instituto  cuentas con herramientas tecnológicas que automatizan sus procesos sustantivos y fortalecen la promoción del ejercicio de los derechos.</t>
  </si>
  <si>
    <t>La población del INAI puede ejercer sus funciones y atribuciones con los servicios de TIC proporcionados con base a los niveles de entrega del servicio definidos.</t>
  </si>
  <si>
    <t>Toda vez que el nivel de servicio de la mesa de ayuda "SIRVE" del INAI no sea mayor a 4 horas., la población del INAI se encontrara satisfecha para ejercer sus funciones y atribuciones.</t>
  </si>
  <si>
    <t>Que el área requirente atienda las recomendaciones de seguridad provistas con motivo de asegurar la confidencialidad, disponibilidad e integridad de la información en los micrositios Institucionales.</t>
  </si>
  <si>
    <t>610 - Dirección General de Vinculación, Coordinación y Colaboración con Entidades Federativas</t>
  </si>
  <si>
    <t>Secretaría Ejecutiva del Sistema Nacional de Transparencia</t>
  </si>
  <si>
    <t>Grado de variabilidad en las capacidades institucionales de los organismos garantes de acceso a la información y protección de datos personales en las entidades federativas  (promoción vinculación y capacitación) para garantizar los derecho al acceso a la información, gestión documental y protección de datos personales.</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</si>
  <si>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un canal institucional de vinculación, coordinación y colaboración con los organismos garantes locales de las entidades federativas para impulsar las acciones y políticas del Sistema Nacional de Transparencia </t>
  </si>
  <si>
    <t xml:space="preserve">Dispersión de las capacidades institucionales de los organismos garantes de acceso a la información </t>
  </si>
  <si>
    <t>Porcentaje de capacidades institucionales de los organismos garantes de acceso a la información y protección de datos personales en las entidades federativas que han mejorado  (promoción vinculación y capacitación) para garantizar los derecho al acceso a la información, gestión documental y protección de datos personales.</t>
  </si>
  <si>
    <t>Los Organismos garantes locales de las entidades federativas en materia de transparencia, acceso a la información y protección de datos personales, cuentan con un canal institucional de vinculación, coordinación y colaboración para impulsar las acciones y políticas del Sistema Nacional de Transparencia.</t>
  </si>
  <si>
    <t xml:space="preserve">(Sumatoria de los criterios de los organismos garantes que presentaron mejora / Sumatoria de los criterios susceptibles de mejora  de los organismos garantes) x 100  </t>
  </si>
  <si>
    <t>Porcentaje del cumplimiento del Programa de promoción y vinculación con  entidades federativas</t>
  </si>
  <si>
    <t>Programa de promoción y vinculación con las entidades federativas  en coordinación con el Sistema Nacional de Transparencia implementado</t>
  </si>
  <si>
    <t>(número de actividades realizadas / número de actividades programadas) *100</t>
  </si>
  <si>
    <t>Porcentaje del cumplimiento del Programa de capacitación a entidades federativas</t>
  </si>
  <si>
    <t>Programa de capacitación a los servidores públicos de las entidades federativas  en coordinación con el Sistema Nacional de Transparencia implementado</t>
  </si>
  <si>
    <t>(número de actividades realizadas  / número de actividades programadas) *100</t>
  </si>
  <si>
    <t>Porcentaje de eventos de promoción en materia de transparencia, acceso a la información, protección de datos y gestión documental en las entidades federativas</t>
  </si>
  <si>
    <t>Organización de eventos de promoción en coordinación con los integrantes del Sistema Nacional de Transparencia</t>
  </si>
  <si>
    <t>(número de eventos de promoción organizados en las entidades federativas) / (número de eventos programados + total de eventos solicitados)  *100</t>
  </si>
  <si>
    <t>Porcentaje de atención a reuniones y eventos convocados en las entidades federativas</t>
  </si>
  <si>
    <t>Representación institucional del INAI en las entidades federativas</t>
  </si>
  <si>
    <t>(número reuniones atendidas / número de reuniones convocadas) *100</t>
  </si>
  <si>
    <t>Porcentaje de proyectos de promoción  implementados en coordinación con el Sistema Nacional de Transparencia</t>
  </si>
  <si>
    <t>Implementación de proyectos de promoción en materia de transparencia, acceso a la información y protección de datos en coordinación con el Sistema Nacional de Transparencia</t>
  </si>
  <si>
    <t>(número de proyectos realizados) / (número de proyectos programados + número de proyectos solicitados) *100</t>
  </si>
  <si>
    <t>Porcentaje de Concursos Nacionales organizados en coordinación con el Sistema Nacional de Transparencia</t>
  </si>
  <si>
    <t>Organización de Concursos Nacionales en materia de transparencia, acceso a la información, protección de datos, gestión documental y archivos, en coordinación con el Sistema Nacional de Transparencia</t>
  </si>
  <si>
    <t>(número de Concursos realizados / número de Concursos programados) *100</t>
  </si>
  <si>
    <t>Porcentaje de asesorías, consultorías y reuniones de trabajo realizadas para la armonización de leyes de las entidades federativas</t>
  </si>
  <si>
    <t>Impulso a la armonización y homologación de las legislaciones de las entidades federativas en materia de transparencia, acceso a la información, protección de datos personales y gestión documental</t>
  </si>
  <si>
    <t>(número de asesorías, consultorías y reuniones realizadas / número de asesorías, consultorías y reuniones solicitadas) *100</t>
  </si>
  <si>
    <t>Número de eventos conmemorativos del Día Internacional de Protección de Datos Personales en el país. La Secretaría de Protección de Datos Personales establece en el primer trimestre del año, el periodo para llevar a cabo los eventos.</t>
  </si>
  <si>
    <t>Organización de eventos de conmemoración del Día Internacional de Protección de Datos Personales 2017 en las entidades federativas</t>
  </si>
  <si>
    <t>Sumatoria de eventos  conmemorativos realizados</t>
  </si>
  <si>
    <t>Número de eventos conmemorativos</t>
  </si>
  <si>
    <t>Porcentaje de talleres regionales  organizados en materia de transparencia, acceso a la información, protección de datos personales y temas relacionados  en coordinación con el Sistema Nacional de Transparencia</t>
  </si>
  <si>
    <t>Organización de talleres regionales en materia de transparencia, acceso a la información,  protección de datos personales y temas relacionados en coordinación con el Sistema Nacional de Transparencia</t>
  </si>
  <si>
    <t>(número de talleres regionales organizados en materia de transparencia, acceso a la información pública, protección de datos personales y temas relacionados / Total de talleres programados)  *100</t>
  </si>
  <si>
    <t>Porcentaje de talleres presenciales  organizados en materia de transparencia, acceso a la información, protección de datos personales y temas relacionados  en coordinación con el Sistema Nacional de Transparencia</t>
  </si>
  <si>
    <t>Organización de talleres presenciales en materia de transparencia, acceso a la información pública, protección de datos personales y temas relacionados en coordinación con el Sistema Nacional de Transparencia</t>
  </si>
  <si>
    <t>(número de talleres presenciales organizados en materia de transparencia y acceso a la información pública) / (número de talleres presenciales programados + solicitados) * 100</t>
  </si>
  <si>
    <t>Porcentaje de acciones de fortalecimiento y acompañamiento a los municipios</t>
  </si>
  <si>
    <t>Fortalecimiento y acompañamiento a los municipios en materia de transparencia, acceso a la información, protección de datos y temas relacionados</t>
  </si>
  <si>
    <t>(número de talleres y reuniones de trabajo realizadas con los municipios ) / (número de talleres y reuniones de trabajo programadas y solicitadas con los municipios) *100</t>
  </si>
  <si>
    <t xml:space="preserve">A partir de los resultados del Censo Nacional de Transparencia, Acceso a la Información y Protección de Datos Personales 2016, realizado por el INEGI, se detectaron 74 capacidades institucionales de los Organismos garantes locales como susceptibles de mejora (promoción, capacitación y vinculación). </t>
  </si>
  <si>
    <t>Con los resultados del Censo Nacional de Transparencia, Acceso a la Información y Protección de Datos Personales 2017, mejoraron 20 de las 74 capacidades institucionales de los Organismos garantes locales, lo que refleja un fortalecimiento en el 27% de las mismas.</t>
  </si>
  <si>
    <t>La DGVCCEF coadyuva en actividades de vinculación, promoción y capacitación en las entidades federativas, pero debido a la autonomía de los Organismos garantes locales, la mejora en sus capacidades institucionales no dependen directamente de las diligencias realizadas.</t>
  </si>
  <si>
    <t>Se realizaron ciento veinticuatro actividades de promoción y vinculación con las entidades federativas</t>
  </si>
  <si>
    <t>Se cumplió con el programa permanente de promoción de los derechos de acceso a la información y protección de datos personales, así como con la vinculación con las entidades federativas,  en coordinación con los Organismos garantes locales y las Instancias el Sistema Nacional de Transparencia</t>
  </si>
  <si>
    <t>Se realizaron noventa actividades de capacitación para servidores públicos de las entidades federativas</t>
  </si>
  <si>
    <t>Se cumplió con el programa permanente de  capacitación en las entidades federativas, en coordinación con los Organismos garantes locales y las Instancias del Sistema Nacional de Transparencia</t>
  </si>
  <si>
    <t xml:space="preserve">Se realizaron catorce eventos de promoción programados y solicitados </t>
  </si>
  <si>
    <t>Se realizaron todos los eventos de promoción  programados por la DGVCCEF, así como los solicitados por los Organismos garantes locales o las Instancias del Sistema Nacional de Transparencia</t>
  </si>
  <si>
    <t>Se atendieron cuarenta y un eventos programados y solicitados en las entidades federativas</t>
  </si>
  <si>
    <t>En INAI tuvo representación institucional en todos los eventos o reuniones a los que fue convocado por Organismos garantes locales, autoridades gubernamentales o  Instancias del Sistema Nacional de Transparencia</t>
  </si>
  <si>
    <t>Se realizaron veintiséis proyectos de promoción programados y solicitados</t>
  </si>
  <si>
    <t>Se difundieron los derechos de acceso a la información y protección de datos personales a través de proyectos de promoción</t>
  </si>
  <si>
    <t>Se realizaron el Concurso Nacional de Spots de Radio (se reportó también el lanzamiento de la Convocatoria) y el Concurso para ser Comisionada y Comisionado Infantil y formar parte del Pleno niñas y niños</t>
  </si>
  <si>
    <t>Se difundieron la importancia y la utilidad de los derechos de acceso a la información y protección de datos personales a través de Concursos nacionales</t>
  </si>
  <si>
    <t xml:space="preserve">Se realizaron treinta y dos Notas Técnicas de asesoría sobre leyes de Acceso a la Información y de Protección de Datos Personales de las entidades federativas </t>
  </si>
  <si>
    <t>El INAI tuvo una participación activa en el proceso de armonización y adecuación de la legislación en materia de trasparencia, acceso a la información publica y protección de datos personales de las entidades federativas.</t>
  </si>
  <si>
    <t>Se realizaron ocho eventos Conmemorativos del Día Internacional de Protección de Datos Personales en las entidades federativas</t>
  </si>
  <si>
    <t>Los 8 eventos conmemorativos del Día Internacional de Protección de Datos Personales programados, se realizaron en el primer trimestre del año.</t>
  </si>
  <si>
    <t>Se realizaron once talleres regionales</t>
  </si>
  <si>
    <t>Se capacitó en diversos temas de transparencia, acceso a la información pública, protección de datos personales, gestión documental y Plataforma Nacional de Transparencia, a los servidores públicos de los Organismos garantes integrantes de las 4 regiones del SNT.</t>
  </si>
  <si>
    <t>Se realizaron setenta y cuatro talleres presenciales</t>
  </si>
  <si>
    <t>Se capacitó a través de talleres locales y especializados en temas de transparencia, acceso a la información, protección de datos personales y Plataforma Nacional de Transparencia, a los servidores públicos de los Organismos garantes locales y de las entidades federativas.</t>
  </si>
  <si>
    <t>Se realizaron cinco eventos de fortalecimiento y acompañamiento a los municipios</t>
  </si>
  <si>
    <t>Se acompañó a diversos Municipios en eventos en los que se trataron temas de transparencia, acceso a la información, protección de datos personales y gestión documental.</t>
  </si>
  <si>
    <t xml:space="preserve">Se realizaron cambios a fin de subsanar inconsistencias en la sistematización de la matriz y se refleje de manera adecuada a la realidad. Se modificó la frecuencia de medición de trimestral a anual </t>
  </si>
  <si>
    <t>Tratándose de un indicador compuesto, se tomó en cuenta el cumplimiento promedio de las metas de los Indicadores de nivel Propósito. En el caso del ICCT, la fórmula del indicador no fue igual en años anteriores, y por tanto las mediciones realizadas, no proporcionaron elementos adecuados para el establecimiento de la meta de 2017. En el caso del indicador que mide la percepción de los participantes, respecto del nivel de aplicabilidad de los conocimientos adquiridos en las acciones de capacitación presencial en materia de protección de datos personales dirigidas a sujetos regulados, este año fue la primera medición, por lo que no había antecedentes para un establecimiento más preciso de la meta. Por estos motivos, el resultado del indicador rebasó la meta establecida.</t>
  </si>
  <si>
    <t xml:space="preserve">Por un lado, se generó una competencia positiva en materia de capacitación frente a un porcentaje alto de sujetos obligados con programa, que obtuvieron 50 o más puntos en el indicador de impacto de la capacitación y se sentarán las bases para permitir la definición con mayor precisión tanto la fórmula de medición del ICCT, como de la meta para 2018; y por otro, se cuenta ya con una primera información respecto de la percepción de los participantes en las acciones de capacitación presencial en materia de protección de datos en posesión de particulares, insumo a considerar en la definición de las variables que se construirán para la evaluación de los resultados e impacto de la capacitación en próximos ejercicios. </t>
  </si>
  <si>
    <t>Se realizaron 235 cursos de capacitación presencial de los 237 programados en esta vertiente de capacitación básica presencial. Los cursos que no se pudieron llevar a cabo se debe a que tuvieron que cancelarse por efectos del sismo del 19 de septiembre y posteriormente ya no pudieron reprogramarse.</t>
  </si>
  <si>
    <t xml:space="preserve">En esta vertiente de capacitación básica presencial, se capacitaron a un total de 11,303 servidores públicos e integrantes de los sujetos obligados, de los cuales 5,923 son mujeres y 5,380 son hombres, </t>
  </si>
  <si>
    <t>620 - Dirección General Técnica, Seguimiento y Normatividad</t>
  </si>
  <si>
    <t>Porcentaje de acuerdos del Sistema Nacional de Transparencia cumplidos por sus integrantes.</t>
  </si>
  <si>
    <t>Contribuir a coordinar el Sistema Nacional de Transparencia y de Protección de Datos Personales, para que los órganos garantes establezcan, apliquen y evalúen acciones de acceso a la información pública, protección y debido tratamiento de datos personales mediante la consolidación de mecanismos normativos y de política entre los integrantes del Sistema.</t>
  </si>
  <si>
    <t>(Acuerdos del Consejo Nacional del Sistema Nacional de Transparencia cumplidos / Acuerdos tomados por el Consejo del Sistema Nacional de Transparencia) * 100</t>
  </si>
  <si>
    <t>Porcentaje de propuestas fortalecidas de los integrantes e instancias del Sistema Nacional de Transparencia que llegan a ser parte de instrumentos normativos o de política pública del Sistema.</t>
  </si>
  <si>
    <t>Los integrantes del Sistema Nacional de Transparencia cuentan con asistencia técnica en el desarrollo de mecanismos normativos y de política para su coordinación en el marco del Sistema.</t>
  </si>
  <si>
    <t>(Número de propuestas fortalecidas de los integrantes e instancias del Sistema Nacional de Transparencia que llegan a ser parte de instrumentos normativos o de política pública del Sistema / Número de propuestas de los integrantes e instancias del Sistema Nacional de Transparencia fortalecidas por la Dirección General Técnica, Seguimiento y Normatividad) * 100</t>
  </si>
  <si>
    <t>Porcentaje de cobertura normativa en materias prioritarias para el funcionamiento del Sistema Nacional de Transparencia</t>
  </si>
  <si>
    <t>Programa permanente de acompañamiento a los instrumentos normativos del Sistema Nacional de Transparencia ejecutado</t>
  </si>
  <si>
    <t>(Número de materias prioritarias comprendidas en los instrumentos normativos  del Sistema Nacional de Transparencia / Número de materias prioritarias comprendidas en la legislación referente al Sistema Nacional de Transparencia) * 100</t>
  </si>
  <si>
    <t>Estratégico-Eficacia-Semestral</t>
  </si>
  <si>
    <t>Porcentaje de propuestas de instrumentos de política pública del Sistema Nacional de Transparencia con acciones de acompañamiento.</t>
  </si>
  <si>
    <t>Programa permanente de acompañamiento a las propuestas de instrumentos de política pública del Sistema Nacional de Transparencia ejecutado.</t>
  </si>
  <si>
    <t>(Número de propuestas de instrumentos de política pública del Sistema Nacional de Transparencia con acciones de acompañamiento / Número de propuestas de instrumentos de política pública del Sistema Nacional de Transparencia generados) * 100</t>
  </si>
  <si>
    <t>Porcentaje de acuerdos tomados por el Consejo Nacional con acciones de acompañamiento.</t>
  </si>
  <si>
    <t xml:space="preserve"> Programa de seguimiento técnico del Consejo Nacional del Sistema Nacional de Transparencia ejecutado.</t>
  </si>
  <si>
    <t>(Número de acuerdos del Consejo Nacional con acciones de acompañamiento / Número total de acuerdos tomados por el Consejo Nacional) *100</t>
  </si>
  <si>
    <t>Porcentaje de propuestas de instrumentos normativos  documentadas y listas para su análisis.</t>
  </si>
  <si>
    <t>Coordinación y documentación de las propuestas de instrumentos normativos sobre el Sistema Nacional de Transparencia.</t>
  </si>
  <si>
    <t>(Número de propuestas de instrumentos normativos documentados para su análisis / Número total de propuestas de instrumentos normativos recibidos) *100</t>
  </si>
  <si>
    <t>Porcentaje de instrumentos normativos dictaminados respecto del total.</t>
  </si>
  <si>
    <t>Revisión y apoyo en la dictaminación de los instrumentos normativos del Sistema Nacional de Transparencia.</t>
  </si>
  <si>
    <t>(Número de instrumentos normativos dictaminados / Número total de instrumentos normativos analizados) * 100</t>
  </si>
  <si>
    <t>Porcentaje de instrumentos normativos publicados.</t>
  </si>
  <si>
    <t>Publicación de instrumentos normativos aprobados.</t>
  </si>
  <si>
    <t>(Número de instrumentos normativos publicados  en el Diario Oficial de la Federación / Número total de instrumentos normativos aprobados) * 100</t>
  </si>
  <si>
    <t>Porcentaje de contenidos enviados por los integrantes del Sistema Nacional de Transparencia analizados para su integración en las propuestas de instrumentos de política pública.</t>
  </si>
  <si>
    <t>Análisis de contenidos para su integración a las propuestas de instrumentos de política pública del Sistema Nacional de Transparencia.</t>
  </si>
  <si>
    <t>(Número de contenidos de política pública para su integración en las propuestas de política pública del Sistema Nacional de Transparencia analizados /Número de contenidos de política pública para su integración en las propuestas de política pública del Sistema Nacional de Transparencia recibidos) *100</t>
  </si>
  <si>
    <t>Porcentaje de actividades realizadas por las instancias del Sistema Nacional de Transparencia que cuentan con el acompañamiento de la Dirección General Técnica, Seguimiento y Normatividad</t>
  </si>
  <si>
    <t>Acompañamiento a las instancias del Sistema Nacional de Transparencia</t>
  </si>
  <si>
    <t>(Número de sesiones de las instancias del Sistema Nacional de Transparencia con acompañamiento de la Dirección General Técnica, Seguimiento y Normatividad / Número de sesiones de las instancias del Sistema Nacional de Transparencia realizadas) * 100</t>
  </si>
  <si>
    <t>Porcentaje de acuerdos del Consejo Nacional del Sistema Nacional de Transparencia con acciones de verificación desde la Dirección General Técnica Seguimiento y Normatividad.</t>
  </si>
  <si>
    <t>Verificación del cumplimiento de los acuerdos del Consejo Nacional del Sistema Nacional de Transparencia.</t>
  </si>
  <si>
    <t>(Número de acuerdos del Consejo Nacional del Sistema Nacional de Transparencia con acciones de verificación realizadas / Número de acuerdos del Consejo Nacional del Sistema Nacional de Transparencia con acciones de verificación programadas) * 100</t>
  </si>
  <si>
    <t>Porcentaje de informes elaborados sobre el Sistema Nacional de Transparencia.</t>
  </si>
  <si>
    <t xml:space="preserve"> Elaboración de informes sobre el Sistema Nacional de Transparencia.</t>
  </si>
  <si>
    <t>(Número de informes elaborados / Número de informes programados) * 100</t>
  </si>
  <si>
    <t>Durante el año 2017 el Consejo Nacional del Sistema Nacional de Transparencia alcanzó 28 acuerdos en 4 sesiones extraordinarias y una ordinaria, de los cuáles  24 han sido cumplidos y al cierre de 2017 los 4 restantes se encontraban en proceso de cumplimiento, por lo tanto se alcanzó la meta establecida.</t>
  </si>
  <si>
    <t>El Consejo Nacional del Sistema Nacional de Transparencia realiza el adecuado cumplimiento de sus acuerdos.</t>
  </si>
  <si>
    <t>Durante el año 2017 se desarrollaron 11 instrumentos normativos y de política pública, de los cuáles todos fueron fortalecidos por la DGTSN , porque no se materializó ningún riesgo asociado a la ejecución de dicho proceso.</t>
  </si>
  <si>
    <t xml:space="preserve">Los trabajos de fortalecimiento permitieron un adecuado procesamiento por parte del Sistema Nacional de Transparencia de sus propuestas. </t>
  </si>
  <si>
    <t>Dado que las acciones  para atender este componente en 2017 se derivaban de la implementación de la Ley General de Datos Personales en Posesión de Sujetos Obligados, el SNT estableció el acuerdo CONAIP/SNT/ACUERDO/EXT02/27/04/2017-04 (Metodología y Cronograma de las estrategias  para la implementación de la Ley General de Datos Personales en Posesión de Sujetos Obligados) que permitió una efectividad mayor de dichas actividades respecto a la meta planteada.</t>
  </si>
  <si>
    <t>El Sistema Nacional de Transparencia avanzó en la emisión de normatividad secundaria  conforme a los tiempos requeridos por la Ley Generales de Protección de Datos Personales en Posesión de los Sujetos Obligados</t>
  </si>
  <si>
    <t>Dada la complejidad de los Programas Nacionales de: Transparencia y Acceso a la Información 2017-2021 (PROTAI), y de Protección de Datos Personales 2018-2022 (PRONADATOS), solamente se contabilizaron como dos propuestas de instrumentos con acciones de acompañamiento que no admitían un cumplimiento menor al 100 por ciento.</t>
  </si>
  <si>
    <t>Los integrantes del Sistema Nacional de Transparencia contaron con la posibilidad de dictaminar los instrumentos de política pública requeridos por las leyes generales en la materia, acceso a la información y protección de datos personales.</t>
  </si>
  <si>
    <t>Durante el año 2017 el Consejo Nacional del Sistema Nacional de Transparencia alcanzó 28 acuerdos en 4 sesiones extraordinarias y una ordinaria. La totalidad de estos acuerdos contaron con el apoyo técnico de la DGTSN-SNT.</t>
  </si>
  <si>
    <t>El Consejo Nacional del Sistema Nacional de Transparencia aprueba acuerdos que cuentan con suficiencia técnica en materia normativa y de política pública.</t>
  </si>
  <si>
    <t>Durante el año 2017 desde la DGTSN-SNT se prepararon y documentaron las 7 propuestas normativas de los integrantes del SNT para su presentación ante las instancias</t>
  </si>
  <si>
    <t>Las instancias del SNT reciben las propuestas normativas de sus integrantes con elementos suficientes para su valoración, discusión y, en su caso, dictaminación correspondiente</t>
  </si>
  <si>
    <t>Durante el año 2017, las instancias del SNT han dictaminado los 6 instrumentos normativos que han sido preparados por la DGTSN-SNT para tal fin</t>
  </si>
  <si>
    <t>El Consejo Nacional del Sistema Nacional de Transparencia cuenta con el apoyo técnico de las instancias de trabajo que para tal fin ha creado</t>
  </si>
  <si>
    <t>Debido a que la sesión ordinaria del Consejo Nacional del Sistema Nacional de Transparencia se realizó en la última semana hábil de 2017 no fue posible tramitar la publicación en el Diario Oficial de la Federación de la totalidad de los instrumentos normativos que se aprobaron</t>
  </si>
  <si>
    <t>Los acuerdos del Consejo Nacional de Transparencia son publicados en el Diario Oficial de la Federación a fin de que éstos sean observados y aplicados debidamente en sus respectivos ámbitos de competencia, aún cuando este proceso no se realice dentro del mismo semestre en el que el acuerdo es tomado, por lo tanto la evidencia de su publicación no se refleja en el reporte correspondiente.</t>
  </si>
  <si>
    <t>Las agendas de trabajo propias de cada institución integrante del Sistema Nacional de Transparencia hacen que las convocatorias a sus sesiones se realicen en fechas que no se ajustan al reporte de los resultados obtenidos en los indicadores.</t>
  </si>
  <si>
    <t>Durante 2017 se realizó el proceso de elaboración del PROTAI, lo cuál incluyó analizar la información proporcionada por los integrantes del SNT para la elaboración del documento diagnóstico (30 envíos), retomar las perspectivas de los coordinadores de las instancias del SNT (16 opiniones), integrar una primera versión para su consulta (con los comentarios de las áreas del INAI) e impactar los comentarios de los integrantes del SNT durante el proceso de consulta (353 comentarios). En este proceso fueron analizados 400 contenidos enviados por los integrantes del SNT para su integración al PROTAI.</t>
  </si>
  <si>
    <t>Los instrumentos de política pública del Sistema Nacional de Transparencia cuentan con la información, las perspectivas y el enfoque de los mismos integrantes del Sistema</t>
  </si>
  <si>
    <t>Las comisiones ordinarias y las regiones del Sistema Nacional de Transparencia realizaron 54 sesiones durante el año 2017, 37 de carácter ordinario  y 17 sesiones extraordinarias. En la totalidad de las sesiones se contó con acompañamiento por parte de la DGTSN-SNT</t>
  </si>
  <si>
    <t>Las instancias del Sistema Nacional de Transparencia cuentan con apoyo en sus procesos de convocatoria, logística, elaboración de insumos y seguimiento de acuerdos, lo cual les brinda las condiciones necesarias para el desarrollo de su labor</t>
  </si>
  <si>
    <t>En el año 2017 el Consejo Nacional del Sistema Nacional de Transparencia alcanzó 28 acuerdos en 4 sesiones, todos estos con acciones de seguimiento realizadas. De estos 28 acuerdos, 24 han sido cumplidos y al cierre de 2017 hay 4 en proceso de cumplimiento.</t>
  </si>
  <si>
    <t>Los integrantes del Consejo Nacional del Sistema Nacional de Transparencia cuentan con información sobre el estado que guardan los acuerdos que han tomado, esto con la finalidad de tomar las decisiones que procuren su cumplimiento</t>
  </si>
  <si>
    <t>Durante el año 2017 se elaboraron: el segundo informe semestral 2016 y el primer informe semestral 2017 del estado que guarda el Sistema Nacional de Transparencia, Acceso a la Información Pública y Protección de Datos Personales. Así mismo se encuentra en integración el segundo informe semestral 2017.</t>
  </si>
  <si>
    <t>Se cuenta con un registro periódico del estado que guarda el Sistema Nacional de Transparencia y este es informado al Pleno del INAI, siendo el INAI el integrante que encabeza al Sistema y preside su Consejo Nacional</t>
  </si>
  <si>
    <t xml:space="preserve">Según el artículo 34 de la Ley General de Transparencia y Acceso a la Información Pública, el pleno del Consejo Nacional del Sistema Nacional de Transparencia (SNT) se reunirá por lo menos cada seis meses; lo cual genera la posibilidad de que pase un trimestre completo sin reunirse y orillarnos a reportar estos indicadores como "Sin avance", reflejando inadecuadamente el estatus de las labores que las demás instancias e integrantes del SNT realizan en pos de alcanzar acuerdos y emitir instrumentos que abonen a la consecución de sus objetivos. Se modificó la frecuencia de medición del indicador de trimestral a semestral </t>
  </si>
  <si>
    <t>Según el artículo 34 de la Ley General de Transparencia y Acceso a la Información Pública, el pleno del Consejo Nacional del Sistema Nacional de Transparencia (SNT) se reunirá por lo menos cada seis meses; lo cual genera la posibilidad de que pase un trimestre completo sin reunirse y orillarnos a reportar estos indicadores como "Sin avance", reflejando inadecuadamente el estatus de las labores que las demás instancias e integrantes del SNT realizan en pos de alcanzar acuerdos y emitir instrumentos que abonen a la consecución de sus objetivos. Se modificó la frecuencia de medición del indicador de trimestral a semestral.</t>
  </si>
  <si>
    <t>E001 - Garantizar el óptimo cumplimiento de los derechos de acceso a la información pública y la protección de datos personales.</t>
  </si>
  <si>
    <t>420 - Dirección General de Investigación y Verificación</t>
  </si>
  <si>
    <t>Garantizar el óptimo cumplimiento de los derechos de acceso a la información pública y la protección de datos personales.</t>
  </si>
  <si>
    <t xml:space="preserve">Secretaría de Protección de Datos Personales </t>
  </si>
  <si>
    <t>Promedio de días hábiles transcurridos dentro de los procedimientos en materia de protección de datos personales hasta la imposición de una sanción a quien vulnere la Ley Federal de Protección de Datos Personales en Posesión de los Particulares.</t>
  </si>
  <si>
    <t xml:space="preserve">Contribuir a garantizar el óptimo cumplimiento de los derechos de acceso a la información pública y la protección de datos personales, mediante procedimientos de investigación y verificación para garantizar la protección de los datos personales. </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</si>
  <si>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</si>
  <si>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Días</t>
  </si>
  <si>
    <t>INDICADORES</t>
  </si>
  <si>
    <t>METAS-AVANCE</t>
  </si>
  <si>
    <t>Porcentaje de procedimientos de investigación iniciados que concluyen en verificación.</t>
  </si>
  <si>
    <t>Los titulares de los datos personales cuentan con procedimientos de investigación y verificación para el ejercicio de su derecho de protección de datos personales.</t>
  </si>
  <si>
    <t>(Número de procedimientos de verificaciones / Número de procedimientos de investigaciones) * 100</t>
  </si>
  <si>
    <t>Porcentaje de procedimientos de verificación concluidos que se envían a la Dirección General de Protección de Derechos y Sanción (DGPDS).</t>
  </si>
  <si>
    <t>(Número de procedimientos de verificación enviados a la DGPDS / número procedimientos de verificación concluidos) * 100</t>
  </si>
  <si>
    <t>Porcentaje de procedimientos de investigación que se concluyen en 90 días hábiles o menos</t>
  </si>
  <si>
    <t>Procedimientos de investigación y verificación concluidos</t>
  </si>
  <si>
    <t>(Número de investigaciones concluidos en 90 días hábiles o menos / número procedimientos de investigación concluidos) * 100</t>
  </si>
  <si>
    <t>Porcentaje de procedimiento de verificación que se concluyen en 100 días hábiles o menos.</t>
  </si>
  <si>
    <t>(Número de verificaciones concluidas en 100 días hábiles o menos / Total de verificaciones concluidas) * 100</t>
  </si>
  <si>
    <t>Porcentaje de denuncias admitidas en 5 días hábiles o menos.</t>
  </si>
  <si>
    <t xml:space="preserve"> Admisión y orientación de denuncias</t>
  </si>
  <si>
    <t>(Número de denuncias admitidas en 5 días hábiles o menos / Número de denuncias admitidas) * 100</t>
  </si>
  <si>
    <t>Porcentaje de denuncia que son orientadas o reconducidas en 10 días hábiles o menos.</t>
  </si>
  <si>
    <t>(Número de denuncias orientadas o reconducidas en 10 días hábiles o menos / Número de denuncias orientadas o reconducidas) * 100</t>
  </si>
  <si>
    <t>Debido a que este indicador es de reciente creación, se planteó establecer una meta de 185 días hábiles, debido a que no se tenía la información integrada por las áreas involucradas, necesaria para plantear con mayor exactitud la meta programada. Por lo mismo, la variación entre la meta programada y la alcanzada, se debió a que los procedimientos involucrados se tramitaron en menor tiempo.</t>
  </si>
  <si>
    <t>Al concluir los procedimientos en materia de protección de datos personales en un promedio de días hábiles menor al planteado, se contribuyó a garantizar el derecho de protección de datos personales a los ciudadanos a través de los procedimientos de protección de derechos, verificación e imposición de sanciones.
Derivado de los resultados obtenidos en 2017, la meta anual programada para 2018 se ajustó a 135 días con la finalidad de plantear una meta alcanzable.</t>
  </si>
  <si>
    <t>Se iniciaron 85 procedimientos de verificación respecto de 409 procedimientos de investigación iniciados en el mismo periodo. La variación se debe a que en 2017 se inició un mayor número de procedimientos de investigación (409), respecto de 2016, en el cual se iniciaron 286 procedimientos, número que se utilizó como base para la meta programada.</t>
  </si>
  <si>
    <t>Al iniciar un mayor número de procedimientos de verificación se contribuyó a garantizar la protección de datos personales de los ciudadanos.</t>
  </si>
  <si>
    <t>En todos los procedimientos de verificación se ordenó iniciar un procedimiento de imposición de sanciones en la Dirección General de Protección de Derechos y Sanción. (DGPDS)</t>
  </si>
  <si>
    <t>Al iniciar un mayor número de procedimiento de imposición de sanciones se contribuyó a garantizar la protección de datos personales de los ciudadanos.</t>
  </si>
  <si>
    <t>Se concluyeron 262 investigaciones en 90 días hábiles o menos, respecto de las 263 investigaciones concluidas en el periodo.</t>
  </si>
  <si>
    <t>Al concluir un mayor número de procedimientos de investigación en el periodo programado se contribuyó a garantizar la protección de datos personales de los ciudadanos.</t>
  </si>
  <si>
    <t>Todos los procedimientos de verificación concluidos (45), se realizaron en el periodo programado.</t>
  </si>
  <si>
    <t>Al concluir en menor tiempo los procedimientos de verificación se contribuyó a garantizar la protección de datos personales de los ciudadanos.</t>
  </si>
  <si>
    <t>De las 409 denuncias admitidas, 401 se admitieron en 5 días hábiles o menos. 
8 denuncias se admitieron en más de cinco días hábiles debido a la complejidad de los temas planteados en las denuncias, lo cual implicó un mayor tiempo para su análisis y admisión.</t>
  </si>
  <si>
    <t>Al admitir las denuncias en el periodo planteado, se contribuyó a garantizar la protección de datos personales de los ciudadanos</t>
  </si>
  <si>
    <t>De 203 orientaciones y reconducciones realizadas, 200 se atendieron en 10 días hábiles o menos.
Tres denuncias se orientaron en más de 10 días hábiles debido a la complejidad de los temas planteados en la misma, lo cual implicó un mayor tiempo para su análisis y respuesta.</t>
  </si>
  <si>
    <t>Al orientar o reconducir las denuncias en el periodo planteado, se proporciona respuesta en menor tiempo a las denuncias que no son admitidas.</t>
  </si>
  <si>
    <t>410 - Dirección General de Normatividad y Consulta</t>
  </si>
  <si>
    <t>Secretaría de Protección de Datos Personales</t>
  </si>
  <si>
    <t>Número de leyes locales en materia de protección de datos personales  promulgadas y armonizadas conforme a la ley general de la materia.</t>
  </si>
  <si>
    <t>Contribuir a garantizar el óptimo cumplimiento de los derechos de acceso a la información y la protección de datos personales  mediante la expedición de leyes locales en materia de protección de datos personales promulgadas conforme a la ley general de la materia.</t>
  </si>
  <si>
    <t>Número de  leyes locales en materia de protección de datos personales promulgadas y armonizadas conforme a la ley general de la materia.</t>
  </si>
  <si>
    <t>Leyes locales promulgadas.</t>
  </si>
  <si>
    <t xml:space="preserve">Porcentaje de incidencia de las opiniones técnicas en propuestas de instrumentos normativos. </t>
  </si>
  <si>
    <t xml:space="preserve">Los responsables y titulares cuentan con instrumentos normativos vigentes, federales y locales, apegados a los estándares en materia de protección de datos personales, así como con orientaciones técnicas satisfactorias. </t>
  </si>
  <si>
    <t>(Número de propuestas de instrumentos fortalecidas en materia de protección de datos personales / Número de propuestas de instrumentos normativos que recibieron opiniones técnicas) * 100</t>
  </si>
  <si>
    <t>Calificación promedio de la experiencia y satisfacción de los consultantes sobre las orientaciones técnicas emitidas por la Dirección General de Normatividad y Consulta.</t>
  </si>
  <si>
    <t>V1/ V2</t>
  </si>
  <si>
    <t>Índice consultivo y orientación especializada en materia de protección de datos personales.</t>
  </si>
  <si>
    <t>Servicio de acompañamiento y atención a consultas especializadas en materia de protección de datos personales provisto.</t>
  </si>
  <si>
    <t>((V1/V2)x0.8+(V3/V4)x0.2)x100</t>
  </si>
  <si>
    <t>Índice de gestión normativa.</t>
  </si>
  <si>
    <t>Plan de fortalecimiento normativo del derecho a la protección de datos personales implementado.</t>
  </si>
  <si>
    <t xml:space="preserve">((V1/1x0.5)+(V2/4x0.5)x100 </t>
  </si>
  <si>
    <t>Porcentaje de consultas especializadas en materia de protección de datos personales atendidas.</t>
  </si>
  <si>
    <t>Atención de consultas especializadas en materia de protección de datos personales.</t>
  </si>
  <si>
    <t>(V1/V2)x100</t>
  </si>
  <si>
    <t xml:space="preserve">Porcentaje de opiniones técnicas y/o propuestas de dictámenes de evaluaciones de impacto a la protección de datos personales emitidas. </t>
  </si>
  <si>
    <t>Emisión de opiniones técnicas y/o propuestas de dictámenes de evaluaciones de impacto a la protección de datos personales respecto de tratamientos de información personal relevantes y/o intensivos.</t>
  </si>
  <si>
    <t>Número de propuestas de instrumentos normativos y/o actualización de los mismos desarrollados.</t>
  </si>
  <si>
    <t>Generación de proyectos y/o actualización de instrumentos normativos.</t>
  </si>
  <si>
    <t>Número de propuestas y/o actualización de instrumentos normativos desarrollados, en calidad de insumos, para que el INAI de cumplimiento a su atribución normativa, o bien, en procesos legislativos que involucren el tratamiento de datos personales a cargo del Congreso Federal o legislaturas estatales.</t>
  </si>
  <si>
    <t>Proyectos normativos.</t>
  </si>
  <si>
    <t xml:space="preserve">Número de reportes que analizan los instrumentos normativos y/o iniciativas, federales y locales, que involucran el tratamiento de datos personales.  </t>
  </si>
  <si>
    <t>Seguimiento legislativo de aquella regulación federal y local que involucre el tratamiento de datos personales.</t>
  </si>
  <si>
    <t>Número de reportes trimestrales generados que informan sobre el número de instrumentos normativos federales y locales revisados y analizados, así como de las fichas informativas y analíticas que se elaboran, a partir del impacto que los ordenamientos tienen en materia de protección de datos personales.</t>
  </si>
  <si>
    <t xml:space="preserve">Reportes </t>
  </si>
  <si>
    <t>Se superó el cumplimiento de la meta prevista en un 30% al emitir 13 opiniones técnicas de legislaciones estatales en materia de protección de datos personales respecto de 13 solicitudes presentadas por las siguientes entidades federales: 1. Aguascalientes, 2. Baja California Sur, 3. Chihuahua, 4. Coahuila, 5. Colima, 6. Durango, 7. Estado de México, 8. Guanajuato, 9. Jalisco, 10. Oaxaca, 11. San Luis Potosí, 12. Tabasco y 13. Zacatecas. Lo anterior, en el marco del proceso de armonización de la Ley General de Protección de Datos Personales en Posesión de Sujetos Obligados.</t>
  </si>
  <si>
    <t>Se obtuvo un cumplimiento superior a lo programado, lo cual impactó positivamente al emitir un mayor número de opiniones técnicas sobre legislaciones estatales en materia de protección de datos personales.</t>
  </si>
  <si>
    <t xml:space="preserve">Se cumplió satisfactoriamente la meta prevista al emitir una opinión técnica sobre el proyecto de Reglamento del Instituto Nacional Electoral en materia de protección de datos personales respecto a la única solicitud formulada por el Instituto Nacional Electoral, la cual tuvo incidencia en el Acuerdo aprobado en sesión ordinaria por el Consejo General de ese Instituto el 22 de noviembre de 2017 y publicado en el Diario Oficial de la Federación el 15 de diciembre de 2017.  </t>
  </si>
  <si>
    <t xml:space="preserve">Se obtuvo un cumplimiento igual al programado, lo cual impactó positivamente ya que se consideraron algunas recomendaciones técnicas en materia de protección de datos personales manifestadas. </t>
  </si>
  <si>
    <t>Se superó la meta en 9.38% debido a que las calificaciones promedio de las encuestas de experiencia y satisfacción debidamente requisitadas fueron las siguientes: en el primer trimestre fue de 9, en el segundo trimestre fue de 8 y en el tercer y cuarto trimestre fue de 9.</t>
  </si>
  <si>
    <t>Se obtuvo un cumplimiento superior a lo programado, lo cual impactó positivamente al obtener una mayor calificación en las encuestas de satisfacción y calidad de las orientaciones técnicas especializadas en materia de protección de datos personales que se emitieron.</t>
  </si>
  <si>
    <t>Se superó la meta con una ligera variación del 3.02% considerando el porcentaje de atención anual de las consultas especializadas en materia de protección de datos personales obtenido en 2017 con respecto a las recibidas durante dicho año.</t>
  </si>
  <si>
    <t>Se obtuvo un cumplimiento superior a lo programado, lo cual impactó positivamente al superar el porcentaje de atención de las consultas especializadas en materia de protección de datos personales respecto a las recibidas.</t>
  </si>
  <si>
    <t>Se cumplió con la meta anual prevista al emitir 6 propuestas normativas en materia de protección de datos personales y 4 reportes de seguimiento legislativo durante el ejercicio 2017.</t>
  </si>
  <si>
    <t>Se obtuvo un cumplimiento igual al programado, lo cual impactó positivamente al desarrollar 6 propuestas normativas derivadas de la Ley General de Protección de Datos Personales en Posesión de Sujetos Obligados, así como 4 reportes de seguimiento legislativo.</t>
  </si>
  <si>
    <t>Se superó la meta con una ligera variación del 3.86% del porcentaje de atención anual de consultas especializadas en materia de protección de datos personales que se obtuvo en 2017.</t>
  </si>
  <si>
    <t xml:space="preserve">Se cumplió satisfactoriamente la meta anual al emitirse un total de 10 opiniones técnicas respecto a tratamientos intensivos o relevantes de datos personales de 10 opiniones solicitadas en el ejercicio 2017. </t>
  </si>
  <si>
    <t>Se obtuvo un cumplimiento igual al programado, lo cual impactó positivamente al emitir 10 opiniones técnicas respecto a tratamientos intensivos o relevantes de datos personales, sobre el mismo número solicitado.</t>
  </si>
  <si>
    <t>Se cumplió satisfactoriamente con la meta prevista al emitir 6 propuestas normativas atendiendo el mandato previsto en la Ley General de Protección de Datos Personales en Posesión de Sujetos Obligados: 1. Lineamientos para la recepción, sustanciación y resolución de los recursos de revisión en materia de datos personales, interpuestos ante el Instituto Nacional de Transparencia, Acceso a la Información y Protección de Datos Personales; 2. Lineamientos Generales de Protección de Datos Personales para el Sector Público; 3. Disposiciones administrativas de carácter general para la elaboración, presentación y valoración de evaluaciones de impacto en la protección de datos personales; 4. Reformas a los Lineamientos  Generales para que el Instituto Nacional de Transparencia, Acceso a la Información y Protección de Datos Personales ejerza la facultad de atracción; 5. Criterios generales para la instrumentación de medidas compensatorias en el sector público del orden federal, estatal y municipal y 6. Lineamientos que establecen los parámetros, modalidades y procedimientos para la portabilidad de datos personales.</t>
  </si>
  <si>
    <t>Se obtuvo un cumplimiento igual al programado, lo cual impactó positivamente al desarrollar seis propuestas normativas derivadas de la Ley General de Protección de Datos Personales en Posesión de Sujetos Obligados.</t>
  </si>
  <si>
    <t>Se cumplió satisfactoriamente con la meta anual al emitir 4 reportes trimestrales de seguimiento legislativo durante el ejercicio 2017.</t>
  </si>
  <si>
    <t>Se obtuvo un cumplimiento igual al programado, lo cual impactó positivamente al emitir 4 reportes de seguimiento legislativo.</t>
  </si>
  <si>
    <t xml:space="preserve">Se solicitó cambiar la meta anual de 1 a 10 leyes locales promulgadas debido a la entrada en vigor de la Ley General de Protección de Datos Personales en Posesión de Sujetos Obligados y por lo dispuesto en el artículo 42 del Estatuto Orgánico del Instituto Nacional de Transparencia, Acceso a la Información y Protección de Datos Personales. </t>
  </si>
  <si>
    <t xml:space="preserve">Se solicitó cambiar la meta anual de 1 instrumento normativo al cumplimiento del 100% de incidencia de las opiniones técnicas en propuestas de instrumentos normativos. Esto debido a la entrada en vigor de la Ley General de Protección de Datos Personales en Posesión de Sujetos Obligados y por lo dispuesto en el artículo 42 del Estatuto Orgánico del Instituto Nacional de Transparencia, Acceso a la Información y Protección de Datos Personales. </t>
  </si>
  <si>
    <t xml:space="preserve">Se solicitó cambiar la meta anual de 4 opiniones técnicas al cumplimiento del 100% de opiniones técnicas y/o propuestas de dictámenes de evaluaciones de impacto a la protección de datos personales emitidas.  Esto debido a la entrada en vigor de la Ley General de Protección de Datos Personales en Posesión de Sujetos Obligados y por lo dispuesto en el artículo 42 del Estatuto Orgánico del Instituto Nacional de Transparencia, Acceso a la Información y Protección de Datos Personales. </t>
  </si>
  <si>
    <t>440 - Dirección General de Prevención y Autorregulación</t>
  </si>
  <si>
    <t>Porcentaje de sujetos obligados del ámbito federal de la Ley General de Protección de Datos Personales en Posesión de Sujetos Obligados que cuentan con una política interna o programada de protección de datos personales.</t>
  </si>
  <si>
    <t>Contribuir a promover el pleno ejercicio de los derechos de acceso a la información pública y de protección de datos personales, así como la transparencia y apertura de las instituciones públicas, mediante la elaboración de mecanismos  para ayudar a los responsables del tratamiento de datos personales al cumplimiento de sus obligaciones en la materia, así como para elevar los niveles de protección y acciones para promover el ejercicio libre e informado del derecho entre los titulares.</t>
  </si>
  <si>
    <t>(Número  de sujetos obligados del ámbito federal que cuentan con una política interna o programa de protección de datos personales/ El número total de sujetos obligados del ámbito federal)*100</t>
  </si>
  <si>
    <t>Porcentaje de utilidad de las herramientas que el INAI pone a disposición de los responsables para facilitar el cumplimiento de las obligaciones en materia de protección de datos personales.</t>
  </si>
  <si>
    <t>Los responsables de los datos personales cuentan con herramientas de facilitación en materia de protección de datos personales disponibles.</t>
  </si>
  <si>
    <t>(Número de responsables que responden encuesta de satisfacción y encontraron útiles las herramientas / número total de encuestas respondidas)*100</t>
  </si>
  <si>
    <t>Media geométrica de cumplimiento del programa de autorregulación.</t>
  </si>
  <si>
    <t xml:space="preserve">Programa de autorregulación implementado </t>
  </si>
  <si>
    <t>2√(Porcentaje de avance en la operación del REA * Porcentaje de avance en las acciones para impulsar la autorregulación)</t>
  </si>
  <si>
    <t>Media geométrica del cumplimiento del programa de acompañamiento y prevención.</t>
  </si>
  <si>
    <t>Programa de acompañamiento y prevención en el ejercicio del derecho a la protección de datos implementado</t>
  </si>
  <si>
    <t>4√ (Porcentaje de avance en la elaboración de material para orientar en el cumplimiento de obligaciones en materia de protección de datos personales * Porcentaje de avance en atención de solicitudes de autorización de medidas compensatorias * Porcentaje de avance en la promoción de educación cívica y cultura para el ejercicio del derecho de protección de datos personales entre los titulares * Porcentaje de avance en la contestación a consultas en materia de las atribuciones de la DGPAR)</t>
  </si>
  <si>
    <t>Porcentaje de esquemas de autorregulación (EA) evaluados</t>
  </si>
  <si>
    <t>Operación del Registro de Esquemas de Autorregulación Vinculante (REA).</t>
  </si>
  <si>
    <t xml:space="preserve"> (Esquemas de autorregulación evaluados en el trimestre / Esquemas de autorregulación que deben ser evaluados en el trimestre)*100</t>
  </si>
  <si>
    <t>Porcentaje de esquemas de autorregulación (EA) reconocidos.</t>
  </si>
  <si>
    <t>(Esquemas de autorregulación reconocidos en el trimestre / Esquemas de autorregulación que deben ser reconocidos en el trimestre)*100</t>
  </si>
  <si>
    <t>Porcentaje de actividades realizadas por la DGPAR relacionadas con el impulso de autorregulación.</t>
  </si>
  <si>
    <t>Realización de acciones para impulsar la autorregulación.</t>
  </si>
  <si>
    <t>(Actividades de proyectos para impulsar la autorregulación realizadas/ Total de actividades programadas )*100</t>
  </si>
  <si>
    <t>Porcentaje de actividades relacionadas con la elaboración de material para orientar  en el cumplimiento de obligaciones en materia de protección de datos personales.</t>
  </si>
  <si>
    <t xml:space="preserve">Elaboración de material para orientar en el cumplimiento de obligaciones en materia de protección de datos personales. </t>
  </si>
  <si>
    <t>(Actividades relacionadas con la elaboración de material para orientar  en el cumplimiento de obligaciones en materia de protección de datos personales realizadas  / Total de actividades programadas)*100</t>
  </si>
  <si>
    <t>Porcentaje de solicitudes de autorización de medidas compensatorias así como para el uso de hiperenlaces o hipervínculos en una página de Internet del INAI para dar a conocer avisos de privacidad a través de medidas compensatorias atendidas.</t>
  </si>
  <si>
    <t>Atención de solicitudes de autorización de medidas compensatorias así como para el uso de hiperenlaces o hipervínculos en una página de Internet del INAI para dar a conocer avisos de privacidad a través de medidas compensatorias.</t>
  </si>
  <si>
    <t xml:space="preserve">(Solicitudes de autorización de medidas compensatorias así como para el uso de hiperenlaces o hipervínculos en una página de Internet del INAI para dar a conocer avisos de privacidad a través de medidas compensatorias atendidas en el trimestre/ Solicitudes que deben ser atendidas en el trimestre)* 100 </t>
  </si>
  <si>
    <t>Porcentaje de actividades realizadas por la DGPAR para promover la educación cívica y cultura para el ejercicio del derecho de protección de datos personales entre los titulares.</t>
  </si>
  <si>
    <t xml:space="preserve">Promoción de la educación cívica y cultura para el ejercicio del derecho de protección de datos personales entre los titulares. </t>
  </si>
  <si>
    <t>(Actividades relacionadas con la promoción de la educación cívica y cultura para el ejercicio del derecho de protección de datos personales entre los titulares realizadas/ Total de actividades programadas)*100</t>
  </si>
  <si>
    <t>Porcentaje de consultas especializadas atendidas por la DGPAR.</t>
  </si>
  <si>
    <t xml:space="preserve">Atención a consultas especializadas. </t>
  </si>
  <si>
    <t>(Consultas especializadas atendidas en el trimestre/ Consultas especializadas que deben ser atendidas en el trimestre)*100</t>
  </si>
  <si>
    <t>Porcentaje de auditorias voluntarias atendidas por la DGPAR</t>
  </si>
  <si>
    <t>Atención a las auditorias que voluntariamente se sometan los responsables  del tratamiento de los datos personales</t>
  </si>
  <si>
    <t>(Auditorias voluntarias en el semestre/Auditorias voluntarias que deben ser atendidas en el semestre)*100</t>
  </si>
  <si>
    <t>Con relación al periodo reportado, la encuesta de satisfacción del GAP reportó los siguientes resultados: De 1,378 encuestas respondidas, 611 encuestados reportaron un grado de satisfacción de "excelente", representando un 44.34%, 441 encuestados reportaron un grado de satisfacción de "muy bien", representando un 32.00%, mientras que 207 encuestados reportaron un grado de satisfacción de "bien", representando un 15.02%.</t>
  </si>
  <si>
    <t>El hecho de que los usuarios de la herramienta del GAP la encuentren útil, contribuye a que esta herramienta se siga utilizando para la elaboración de los avisos de privacidad, lo que a su vez permite contar con avisos de privacidad con los elementos informativos que establece la norma y a elevar el nivel de cumplimiento del principio de información, lo que favorece a que los titulares cuenten con información precisa sobre el tratamiento de sus datos personales.</t>
  </si>
  <si>
    <t>La actividad de Operación del REA se cumplió al 100% mientras que la actividad de Realizar acciones para promover la autorregulación presentó un avance del 80%.</t>
  </si>
  <si>
    <t>El programa de autorregulación no se pudo implementar óptimamente.</t>
  </si>
  <si>
    <t>La actividad de elaboración de material para orientar en el cumplimiento de obligaciones en materia de protección de datos personales presentó un avance del 66.25%, la actividad de Atención de solicitudes de autorización de medidas compensatorias así como para el uso de hiperenlaces o hipervínculos en una página de Internet del INAI para dar a conocer avisos de privacidad a través de medidas compensatorias presentó un cumplimiento del 100%, la actividad de Promoción de la educación cívica y cultura para el ejercicio del derecho de protección de datos personales entre los titulares presentó un avance del 85.625 %, finalmente, la actividad de Atención a consultas especializadas presentó un avance del 100%.</t>
  </si>
  <si>
    <t>El programa de acompañamiento y prevención no se pudo implementar óptimamente.</t>
  </si>
  <si>
    <t>Durante 2017 se evaluaron 2 esquemas de autorregulación resultando uno validado y otro desechado.</t>
  </si>
  <si>
    <t>La evaluación de esquemas de autorregulación por parte del INAI le permite a esta autoridad asegurarse de que dichos esquemas cumplen con los requisitos exigidos en los Parámetros de Autorregulación en materia de Protección de Datos Personales y en las Reglas de Operación del Registro de Esquemas de Autorregulación Vinculante. Esto contribuye, a su vez, a identificar aquellos esquemas de autorregulación que complementan y elevan los estándares de cumplimiento de la normativa y a reconocer a los responsables comprometidos con la privacidad, al mismo tiempo que se genera confianza en los titulares.</t>
  </si>
  <si>
    <t>Durante 2017 se reconocieron 18 esquemas de autorregulación correspondientes a 23 empresas responsables.</t>
  </si>
  <si>
    <t>El reconocimiento del INAI a esquemas de autorregulación certificados permite identificar a los responsables que han desarrollado esquemas de autorregulación que complementan y elevan los estándares de la normativa y que ha sido sometido a un proceso robusto de revisión, a través de la certificación. En este sentido, permite reconocer a los responsables o encargados comprometidos con la privacidad, al mismo tiempo que se genera confianza en los titulares.</t>
  </si>
  <si>
    <t>Premio de Innovación y Buenas Prácticas en la Protección de Datos Personales:
1. El 6 de octubre se concluyó evaluación de forma de lo trabajos presentados. 
2. El 26 de octubre de 2017, se llevó a cabo una reunión del Jurado para revisión de fondo de los trabajos que satisficieron requisitos de forma.
3. El 30 de noviembre de 2017, se realizó sesión del fallo del Jurado para determinar trabajos ganadores.
4. El 14 de diciembre de 2017, se notificó a los ganadores su premio y se publicó el Fallo del Jurado.
5. El 15 de diciembre de 2017, se efectuó la solicitud de elaboración de los reconocimientos grabados en vidrio.
6. La ceremonia de premiación se llevará a cabo el 24 de enero de 2018.
Desarrollo del sello electrónico del Premio de Innovación y Buenas Prácticas en la Protección de Datos Personales: el 2 de octubre de 2017, la DGAJ envió a la DGPAR oficio mediante el cual informa que se procederá a realizar el trámite correspondiente ante el IMPI con los insumos proporcionados por la DGPAR.  Actualmente, la DGPAR se encuentra en espera de que la DGAJ notifique algún avance del trámite de registro marcario ante el IMPI.
Reglas para adaptar la normativa a un sector en específico: se comenzaron a realizar recomendaciones por cada proceso del sector de Recursos Humanos en los cuales se identificó que hay tratamiento de datos personales.  El proyecto en cuestión se encuentra detenido desde el tercer trimestre de 2017, en virtud de que el área responsable ha atendido los siguientes proyectos: 
-Lineamientos para la protección de datos personales tratados en el Proyecto 00089477 Fortalecimiento de la Participación Ciudadana y Gobernanza Ambiental para la Sustentabilidad 2014-2019 del Programa de Naciones Unidas para el Desarrollo en México;
-TLCAN y otros acuerdos comerciales internacionales;
- Guía de Biométricos;
- Manual de Procedimientos de Auditorías Voluntarias;
- Elaboración de nota técnica sobre datos sensibles para el Día Internacional de PDP, e
- Investigación y análisis de proyecto "WHO IS".
Desarrollo de la marca del REA, esta actividad fue concluida en el segundo trimestre de 2017. 
Publicación de las Reglas de Operación de CBPRs en México: la DGPAR se encuentra en el análisis de los comentarios emitidos por la Secretaría de Economía para estar en posibilidad de generar un nuevo documento e iniciar la consulta pública correspondiente.</t>
  </si>
  <si>
    <t>Se logró concluir la segunda edición del Premio de Innovación y Buenas Prácticas en la Protección de Datos Personales 2017 (Premio), identificando, premiando y dando difusión a buenas prácticas e innovaciones destacadas en materia de protección de datos personales.  
Por otra parte, el efecto de no contar con el registro del sello electrónico del Premio es que los participantes premiados deberán esperar a que el INAI cuente con el registro correspondiente para poder autorizar la ostentación de dicho distintivo, independientemente de la difusión y reconocimiento público que se les ha hecho como ganadores.
Asimismo, el efecto de no concluir la elaboración de las Reglas para adaptar la normativa para el sector laboral en el ámbito público es que las instituciones del gobierno no cuentan con un instrumento que los oriente sobre cómo tratar los datos personales laborales de servidores públicos, con independencia de que para dicho tratamiento observen lo que establece la norma. 
El efecto de haber concluido el desarrollo de la marca del REA es que el Instituto cuenta con un incentivo eficaz que pueden ostentar los responsables o encargados inscritos en el Registro de Esquemas de Autorregulación Vinculante (REA), con la finalidad de presentarse y distinguirse en el mercado en el que operan ante su público objetivo, como empresas u organizaciones socialmente responsables en la protección de datos personales y que se encuentran certificados o que cuentan con un esquema de autorregulación validado por el INAI.
Finalmente, el efecto de no contar con la publicación de las Reglas de Operación de CBPRs en México se traduce en un retraso en la existencia de terceros certificadores y responsables certificados por el Sistema CBPR que puedan operar en México y faciliten las transferencias internacionales entre las economías de Asia-Pacífico.</t>
  </si>
  <si>
    <t>Generador de documento de seguridad para el sector público: se terminó el Anexo A, Descripción de la interfaz del Generador de Análisis de Brecha (GenAB), y se continuó con el desarrollo de los controles del Anexo B con las tablas de medidas de seguridad y riesgos. Se continúa con el desarrollo de los anexos técnicos y los catálogos de información que serán la base para el desarrollo informático del Generador de Análisis de Brecha.
Ampliación del alcance de la Guía para implementar un Sistema de Gestión de Seguridad de Datos Personales (SGSDP): se está trabajando en el análisis de las obligaciones en materia de seguridad de datos personales establecidas en la LGPDPPSO, a fin de armonizarlas con los requisitos que se señalan en la Guía previamente desarrollada para el Sector Privado, de modo que el resultado de este proyecto será una única Guía para implementar un SGSDP para los Sectores Público y Privado. Se continuará con el análisis de este proyecto una vez que el programa de protección de datos personales del INAI se apruebe y esté completa la normativa que regulará el deber de seguridad en el sector público.
Recomendaciones para el Manejo de Incidentes de Seguridad: ya se tiene una versión final del documento. Sin embargo, se requiere la autorización por parte del Instituto SANS para el uso de una serie de formatos, basados en material que ellos publican en su sitio web. 
En reunión con la Comisión de Normatividad de Datos Personales, el 14 de diciembre de 2017, se acordó que una vez que el Dirección General de Asuntos Jurídicos haya firmado la carta de solicitud dirigida al Instituto SANS, y que dicho organismo otorgue los permisos para utilizar sus formatos, y que la Dirección General de Comunicación Social y Difusión haya desarrollado la identidad gráfica del documento, se pondrán a disposición del público interesado las recomendaciones.
Criterios para la contratación de servicios de cómputo en la nube que implique el tratamiento de datos personales: se están atendiendo los comentarios recibidos por la Secretaría de Economía, y está pendiente solicitar el desarrollo de la identidad gráfica del documento. El proyecto en cuestión ha sido detenido en el cuarto trimestre de 2017, en virtud de que en el trimestre que se reporta, el área responsable ha atendido los siguientes proyectos: 
- Recomendaciones para el Manejo de Incidentes de Seguridad;
- Carta de los derechos y valores de la Persona Digital;
- Guía de Biométricos, y
- Recomendaciones para mantener segura tu privacidad y datos personales en el entorno digital.
Herramienta para elaborar programa de seguridad para MIPYMES: la Dirección General de Tecnologías de la Información (DGTI) no ha reportado un nuevo avance en las modificaciones de la herramienta.
Guía para cumplir con la LGPDPPSO y su automatización: como se reportó en el segundo trimestre, los recursos de la DGPAR se han concentrado en otros proyectos, como el programa piloto pata el INAI que tendrá el mismo efecto que esta guía. 
Generador de Avisos de Privacidad para el Sector Público: de conformidad con el programa de trabajo acordado con la DGTI, se concluyó el desarrollo de la herramienta informática y a partir del 27 de noviembre se dio inicio a la etapa de pruebas por parte de la DGPAR y equipos de las ponencias de las Comisionadas integrantes de la Comisión de Normatividad de Datos Personales. Al cierre de diciembre, la DGTI continúa trabajando en la atención de las observaciones realizadas durante el periodo de pruebas. 
Programa piloto de protección de datos personales para el INAI: éste se adaptó a un documento genérico, denominado programa modelo, que podrá ser utilizado por cualquier sujeto obligado. Actualmente, se está en espera de observaciones por parte de los Comisionados.</t>
  </si>
  <si>
    <t>En lo que respecta a los proyectos en materia de seguridad de datos personales, en específico, el Generador de documento de seguridad para el sector público, la actualización de la Guía para implementar un Sistema de Gestión de Seguridad de Datos Personales, las Recomendaciones para el manejo de incidentes de seguridad, los Criterios para la contratación de servicios de cómputo en la nube que impliquen el tratamiento de datos personales y la Herramienta para elaborar un programa de seguridad para MIPYMES, la falta de publicación o puesta a disposición de los mismos tiene como efecto que los responsables no cuenten con mecanismos de orientación y facilitación para el cumplimiento del deber de información, a pesar de que cuentan con la normatividad que establece las obligaciones en la materia.
Con relación la Guía para cumplir con la LGPDPPSO y su automatización, el efecto de no concluirlo fue optimizar los recursos de la DGPAR en otros proyectos. En específico, el Programa de protección de datos personales del INAI se ha diseñado para facilitar a los sujetos obligados el cumplimiento de cada una de las obligaciones previstas por la LGPDPPSO, por lo que tendrá los efectos de la guía, pero con mayores alcances, al tratarse de un programa integral de cumplimiento de las obligaciones en la materia, y al basarse en un sistema de gestión, que ya lo exige la ley.
En lo concerniente al desarrollo de la herramienta informática del Generador de Avisos de Privacidad para el Sector Público, la misma busca facilitar a los sujetos obligados, a través del llenado de un cuestionario, la construcción de un aviso de privacidad que cuente con todos los elementos informativos que establece la normativa en la materia, atendiendo al tratamiento de datos personales que realicen, por lo que el efecto de no contar con la herramienta es que no es posible brindar a los sujetos obligados de la LGPDPPSO una herramienta práctica que les facilite el cumplimiento de su obligación de generar avisos de privacidad con los elementos informativos que exige la norma, a pesar de que la misma ley los señala.
En cuanto al Programa piloto de protección de datos del INAI, la falta de su aprobación y puesta a disposición tiene como efecto no poder brindar a los sujetos obligados un modelo que los oriente para el cumplimiento de las obligaciones que impone la LGPDPPSO.</t>
  </si>
  <si>
    <t xml:space="preserve">Durante 2017 se dio atención a 1 solicitud de autorización de medidas compensatorias. </t>
  </si>
  <si>
    <t>Se contribuye a que los responsables puedan cumplir con una de las obligaciones en materia de protección de datos personales, prevista en el último párrafo del artículo 18 de la LFPDPPP, así como en los artículos 32 al 35 de su Reglamento.</t>
  </si>
  <si>
    <t>Día Internacional de Protección de Datos Personales 2017: se llevó a cabo el evento conforme a lo programado. 
Día Internacional de Protección de Datos Personales 2018: (i) Se definieron las sedes del evento tanto en la Ciudad de México como en Entidades Federativas , (ii) se llevó a cabo el procedimiento de licitación pública para la contratación de un servicio integral de producción audiovisual, escenografía, alimentación, tecnología y demás servicios, para llevar a cabo la coordinación, logística y desarrollo del evento denominado “Día Internacional de Protección de Datos Personales 2018” y se hizo la adjudicación del contrato a la empresa GESTION DEL AGUA Y MEDIO AMBIENTE, S.C. con la que se iniciaron los trabajos de coordinación y visita a las sedes del evento; (iii) se elaboraron y enviaron las invitaciones para Presídium, Conferencia Magistral, Panel 1, Panel 2, invitados especiales y público en general; (iv) se llevaron a cabo reuniones de trabajo con las Direcciones Generales de Comunicación Social y Difusión; Promoción y Vinculación con la Sociedad; Administración; Asuntos Internacionales; Tecnologías de la Información;  Vinculación, Coordinación y Colaboración con Entidades Federativas; así como las Secretarías Ejecutiva y Ejecutiva del SNT;  (v) se solicitó el desarrollo del micrositio a la DGTI y se puso a disposición del público para su registro; (vi) se dio seguimiento a las acciones antes señaladas. Los eventos se llevarán a cabo los próximos días martes 16, jueves 18, miércoles 24 y martes 30 de enero de 2018.
Celebración del Pleno Niños: dicho proyecto se concluyó en el segundo trimestre de 2017.
Celebración de una alianza con la SEP: en virtud del programa y cargas de trabajo de la DGPAR, no fue posible el inicio de este proyecto. 
Desarrollo de material para promover el derecho a la protección de datos personales entre los titulares, en particular entre la población infantil: Plaza Sésamo hizo la entrega de los materiales motivo de la contratación consistentes en: 26  Episodios de la serie de televisión que contiene animación, canciones y videos en vivo; 3 Anuncios de servicio público (PSAs); 6 Juegos digitales: sobre funciones ejecutivas; 1 herramienta para colorear; 1  e-book; 1 Video introductorio; 2 Guías: 1.- Para padres, y 2.- Cuidadores y educadores; así como varios materiales gráficos para uso de redes sociales y promoción. Se concluyó la entrega del desarrollo, diseño y producción de la modalidad interactiva de la Guía para Titulares de Datos Personales, por parte del proveedor con el visto bueno del INAI. 
"Servicio de asesoría para llevar a cabo la actualización del estudio sobre el desarrollo normativo y jurisprudencial internacional y nacional en materia de protección de datos personales": el proveedor hizo entrega de (1) una base de datos integrada con la documentación tanto internacional como nacional, (2) una carpeta con los respaldos pdf, y (3) informe final.  Dicha información ya fue subida a la plataforma informática desarrollada por DGTI para el Corpus Iuris en materia de protección de datos personales, con la finalidad de ponerla a disposición de la ciudadanía.
Guía para Titulares: se concluyó la entrega del desarrollo, diseño y producción de la modalidad interactiva de la Guía para Titulares de los Datos Personales, por parte del proveedor con el visto bueno del INAI.
Manifiesto de Ciudadanía Digital: ahora denominada Carta de los derechos y valores de la Persona Digital, se acordó en reunión el 14 de diciembre de 2017 con la Comisión de Normatividad de Datos Personales, que se enviara el proyecto a las Ponencias para que brinden sus comentarios el 12 de enero de 2018, y enviarlo posteriormente a las Instituciones públicas, privadas y organizaciones de la sociedad civil invitadas a unirse, para obtener sus comentarios.
Herramienta para automatizar el termómetro de robo de identidad, ésta se lanzó durante el mes de mayo de 2017 en la página del INAI, con el nombre de Vulnerómetro: Evita riesgos a tu identidad.</t>
  </si>
  <si>
    <t>Con relación a los proyectos en materia de seguridad de datos personales, el Vulnerómetro: Evita riesgos a tu identidad, contribuye a que los titulares sean más conscientes sobre el uso responsable y la protección de sus datos personales.
Respecto al Manifiesto de Ciudadanía Digital, en caso de que no sea publicado, se limitará la promoción del derecho a la protección de datos personales con los titulares.
Con relación al Día Internacional de Protección de Datos Personales 2017 y 2018, el efecto de llevar a cabo su desarrollo es contribuir a la difusión de los derechos que tiene toda persona sobre al uso que se da a sus datos personales y las responsabilidades que implica un manejo adecuado de los mismos.
En cuanto al efecto de organizar el Concurso para ser Comisionada y Comisionado Infantil y formar parte del Pleno Niñas y Niños, éste fue fomentar en los menores de edad la creatividad e interés en participar en temas sociales, así como la conciencia sobre la importancia de proteger su información personal y privacidad, cumpliendo así con uno de los objetivos del INAI de promover la importancia de la privacidad y protección de datos personales entre los menores de edad, como parte de la campaña de educación cívica para el ejercicio del derecho de protección de datos personales.
En lo que respecta a la celebración de una alianza con la SEP, el efecto de que no haya podido celebrarse es que no se haya avanzado o se retrase una estrategia integral con otras autoridades para el desarrollo de una cultura de protección de datos personales entre los menores de edad.
Con relación al desarrollo de material para promover el derecho a la protección de datos personales entre los titulares, el efecto de la entrega de los materiales, motivo de la contratación de Plaza Sésamo, así como de su difusión a través de los canales institucionales, de Plaza Sésamo, YouTube Kids y la transmisión de los capítulos de la serie por Canal Once y Once Niños, permite cumplir con el objetivo de promover la importancia de la privacidad y protección de datos personales entre los menores de edad cuando navegan en Internet, a través del uso seguro y responsable de las tecnologías de la información. 
Por su parte, la actualización del Estudio sobre el desarrollo normativo y jurisprudencial internacional en materia de protección de datos personales, ha permitido integrar distintos documentos tanto nacionales como internacionales, que presentan un alto valor en materia de protección de datos personales, privacidad, intimidad, vida privada, acción de habeas data y otros términos o cuestiones interrelacionados con los mismos, lo que conlleva, por un lado, a que diversas autoridades jurisdiccionales y administrativas tengan acceso a los criterios para la aplicación de las leyes en la materia, y por otro, que los individuos y la sociedad en general tengan fácil acceso a información relevante y actualizada relacionada con el derecho en mención.
Con relación a la Guía para Titulares de los datos personales, el efecto de su desarrollo es que se facilita a los titulares de los datos personales el acceso al conocimiento de este derecho para saber en qué consiste, por qué es importante el cuidado de su información personal, cómo pueden ejercerlo y ante quién se pueden quejar en caso de que consideren que no ha sido respetado su derecho.</t>
  </si>
  <si>
    <t>Durante 2017 se atendieron un total de 145 consultas especializadas.</t>
  </si>
  <si>
    <t>Se contribuye a dar cumplimiento con lo expuesto en los artículos 38 y 39, fracción III de la LFPDPPP y 89, fracción XII de la Ley General de Protección de Datos Personales en Posesión de Sujetos Obligados, en lo relacionado con las materias de aviso de privacidad, seguridad de los datos personales, transferencias y autorregulación.</t>
  </si>
  <si>
    <t>La DGPAR se encuentra trabajando en el marco normativo necesario para poder llevar a cabo el procedimiento de auditorías voluntarias.</t>
  </si>
  <si>
    <t xml:space="preserve">Una vez que se cuente con el marco normativo el INAI podrá dar atención a las auditorías a las que voluntariamente se sometan los responsables del tratamiento de los datos personales del sector público y se puedan proponer acciones correctivas o de mejora. </t>
  </si>
  <si>
    <t>Debido aun error en la captura por parte de la DGPDI no se capturó el indicador.
NOTA: se incorporó un nuevo indicador a nivel actividad denominado "Porcentaje de esquemas de autorregulación (EA) reconocidos" para reflejar de mejor forma el quehacer de esta Dirección.</t>
  </si>
  <si>
    <t>430 - Dirección General de Protección de Derechos y Sanción</t>
  </si>
  <si>
    <t>Contribuir a garantizar el óptimo cumplimiento de los derechos de acceso a la información pública y la protección de datos personales, mediante la aplicación de mecanismos legales que coadyuven a garantizar la protección de los datos personales y hacer efectivo el ejercicio de los derechos de acceso, rectificación, cancelación y oposición al tratamiento de datos personales en posesión de los particulares.</t>
  </si>
  <si>
    <t xml:space="preserve">Promedio </t>
  </si>
  <si>
    <t>Promedio de días para la atención de los procedimientos</t>
  </si>
  <si>
    <t>Los titulares de los datos personales que hacen efectivo el ejercicio de sus derechos de acceso, rectificación, cancelación y oposición al tratamiento de sus datos personales en posesión de los particulares utilizan mecanismos legales expeditos.</t>
  </si>
  <si>
    <t>(Promedio de días para la conclusión de los procedimientos de Protección de Derechos) * (Proporción de procedimientos de protección de derechos respecto del total de procedimientos atendidos) + (Promedio de días para la conclusión de los procedimientos de Imposición de Sanciones) * (Proporción de procedimientos de imposición de sanciones respecto del total de procedimientos atendidos)</t>
  </si>
  <si>
    <t>Promedio de días para la conclusión de los procedimientos de protección de derechos.</t>
  </si>
  <si>
    <t>Procedimientos de Protección de Derechos y de imposición de sanciones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</si>
  <si>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</si>
  <si>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Promedio de días para la conclusión de los procedimientos de imposición de sanciones.</t>
  </si>
  <si>
    <t>(Número de días empleados en la sustanciación de los procedimientos hasta el cierre de instrucción) / (Número de procedimientos de imposición de sanciones atendidos)</t>
  </si>
  <si>
    <t>Porcentaje de procedimientos de protección de derechos conciliados.</t>
  </si>
  <si>
    <t>Atención a las solicitudes de protección de derechos y a las resoluciones emitidas por el Pleno que ordenan la imposición de sanciones.</t>
  </si>
  <si>
    <t>(Procedimientos de protección de derechos concluidos mediante conciliación  / Procedimientos de protección de derechos sujetos a conciliación) x 100</t>
  </si>
  <si>
    <t>Porcentaje de procedimientos de protección de derechos concluidos.</t>
  </si>
  <si>
    <t xml:space="preserve">Atención a las solicitudes de protección de derechos y a las resoluciones emitidas por el Pleno que ordenan la imposición de sanciones.
</t>
  </si>
  <si>
    <t>((Número de Procedimientos de Protección de Derechos con cierre de instrucción  + Número de Procedimientos de Protección de Derechos concluidos mediante acuerdos) / Procedimientos de Protección de Derechos concluidos en el periodo) x 100</t>
  </si>
  <si>
    <t>Porcentaje de procedimientos de imposición de sanciones concluidos.</t>
  </si>
  <si>
    <t>(Número de procedimientos de imposición de sanciones con cierre de instrucción dentro del 80% del plazo máximo permitido por la LFPDPPP / Proyectos  en el periodo) x 100</t>
  </si>
  <si>
    <t>Debido a que este indicador es de reciente creación, se planteó establecer una meta de 185 días hábiles, debido a que no se tenía la información integrada por las áreas involucradas, necesaria para plantear con mayor exactitud la meta programada. Por lo mismo, la variación entre la meta programada y la alcanzada, se debió a que la conclusión de los procedimientos involucrados, se tramitaron en menor tiempo.</t>
  </si>
  <si>
    <t>Al concluir los procedimientos en materia de protección de datos personales en un promedio de días hábiles menor al planteado, se contribuyó a garantizar el derecho a la protección de datos personales a los ciudadanos a través de los procedimientos de protección de derechos, verificación e imposición de sanciones.
Derivado de los resultados obtenidos en 2017, la meta anual programada para 2018 se ajustó a 135 días con la finalidad de plantear una meta alcanzable.</t>
  </si>
  <si>
    <t>Debido al cuidado que se ha tenido en el cumplimiento de los tiempos establecidos en el Reglamento de la LFPDPPP para llevar a cabo la sustanciación de los procedimientos, se logró una cobertura del 93.86% de la meta establecida.</t>
  </si>
  <si>
    <t>El ciudadano recibe atención legal a su ejercicio de protección de derechos de manera expedita y en total apego a la normatividad.</t>
  </si>
  <si>
    <t>En el periodo que se reporta, se invirtieron el equivalente a 8,067 días hábiles en la atención de 191 procedimientos.</t>
  </si>
  <si>
    <t>En el periodo que se reporta, se invirtieron el equivalente a 5,067 días hábiles en la atención de 78 procedimientos.</t>
  </si>
  <si>
    <t>Se logró la conciliación de las partes, en 15 de los 26 procedimientos de protección de derechos en los que las partes aceptaron sujetarse a este medio alternativo de solución de controversias.</t>
  </si>
  <si>
    <t>En la audiencia de conciliación, quince ciudadanos manifestaron su satisfacción a la atención brindada por el responsable del tratamiento de los datos, en tanto que los once restantes, optaron por continuar con el procedimiento de protección de sus derechos.</t>
  </si>
  <si>
    <t>178 de los 192 procedimientos de protección de derechos concluidos en el ejercicio, quedaron dentro de la meta establecida.</t>
  </si>
  <si>
    <t xml:space="preserve">El ciudadano recibe atención legal a su ejercicio de protección de derechos de manera expedita. </t>
  </si>
  <si>
    <t>72 de los 78 procedimientos de imposición de sanciones concluidos en el ejercicio, quedaron dentro de la meta establecida.</t>
  </si>
  <si>
    <t xml:space="preserve">Se redujo la meta </t>
  </si>
  <si>
    <t>Se redujo la meta. Trimestres modificados: Segundo y cuarto. La meta pasó de 65 a 42.</t>
  </si>
  <si>
    <t>Se redujo la meta. Trimestres modificados: Segundo y cuarto. La meta pasó de 80 a 63.</t>
  </si>
  <si>
    <t>La meta anual programada para 2016 fue conciliar el 60% de los procedimientos sujetos a conciliación; el resultado final fue de 37% de los casos. Es importante señalar que la conciliación depende de la voluntad de las partes para sujetarse a este medio alternativo para solucionar la controversia, y por otro, para llegar a un acuerdo conciliatorio, por lo cual se estima reducir el porcentaje del indicador. Trimestres modificados: Primero, segundo, tercero y cuarto. La meta se redujo de 60% a 40%.</t>
  </si>
  <si>
    <t>Se redujo la meta. Trimestres modificados: Primero, segundo, tercero y cuarto. La meta se redujo de 95.2% a 95%.</t>
  </si>
  <si>
    <t>710 - Dirección General de Atención al Pleno</t>
  </si>
  <si>
    <t>Secretaría Técnica del Pleno</t>
  </si>
  <si>
    <t>Número de días promedio en el se da cumplimiento a las resoluciones del pleno a los medios de impugnación</t>
  </si>
  <si>
    <t xml:space="preserve">Contribuir a garantizar el óptimo cumplimiento de los derechos de acceso a la información y protección de datos personales en posesión de sujetos obligados, mediante la provisión de elementos al Pleno para concretar y comunicar en menor tiempo a las partes involucradas las resoluciones de éste en la materia. </t>
  </si>
  <si>
    <t>Cumplimiento a las resoluciones del pleno= a+b+c</t>
  </si>
  <si>
    <t>Número de días promedio en el que se resuelven medios de impugnación en materia de acceso a la información y protección de datos personales en posesión de sujetos obligados y se notifican.</t>
  </si>
  <si>
    <t>El Pleno del Instituto cuenta con herramientas para concretar y comunicar a las partes involucradas sus resoluciones  en materia de acceso a la información y protección de datos personales</t>
  </si>
  <si>
    <t>Notificación a las resoluciones del Pleno = promedio de días hábiles transcurridos entre la interposición y la resolución a los medios de impugnación que fueron concretadas por el Pleno en el año en curso + promedio de días hábiles transcurridos entre la resolución de los medios de impugnación y su notificación por medios electrónicos a las personas que interpusieron los medios de impugnación que fueron resueltos en el año en curso</t>
  </si>
  <si>
    <t>Porcentaje de gestiones realizadas en tiempo respecto a las gestiones realizadas en el periodo.</t>
  </si>
  <si>
    <t>Medios de impugnación en materia de acceso a la información y protección de datos personales procesados de acuerdo a la normativa aplicable.</t>
  </si>
  <si>
    <t>{ (RRA turnados / RRA recibidos) x 100 } + { (RRA notificados fuera de tiempo / RRA aprobados por el Pleno) x 100 }</t>
  </si>
  <si>
    <t>Porcentaje de acciones del Pleno que en el periodo fueron publicadas respecto del total de acciones concretadas en el periodo de medición.</t>
  </si>
  <si>
    <t xml:space="preserve"> Las acciones del Pleno publicadas e informadas.  </t>
  </si>
  <si>
    <t>[1- [( ANP + VNP + SNP + AtNP + AuNP ) / ( { S x 3 } + SA + AuA ) ] ] x 100</t>
  </si>
  <si>
    <t>Porcentaje de las instrucciones derivadas de los Acuerdos del Pleno para el cuál las Unidades Administrativas han dado respuesta alguna respecto de su cumplimiento.</t>
  </si>
  <si>
    <t>Asuntos del Pleno y su cumplimiento monitoreados y reportados a los Comisionados del Instituto.</t>
  </si>
  <si>
    <t>[1-(Instrucciones sin respuesta / Instrucciones)] x 100</t>
  </si>
  <si>
    <t>Porcentaje de emisiones trimestrales del estado que guardan los medios de impugnación que fueron reportados en el periodo, respecto a los cuatro trimestres del año.</t>
  </si>
  <si>
    <t>Estado que guardan los medios de impugnación en materia de acceso a la información y protección de datos personales reportado a los Comisionados del Instituto.</t>
  </si>
  <si>
    <t>[1-( Reportes no entregados / 4 )]x 100</t>
  </si>
  <si>
    <t>Porcentaje de medios de impugnación recibidos en el Instituto que  fueron turnados respecto al total de los medios de impugnación recibidos.</t>
  </si>
  <si>
    <t xml:space="preserve">Turno a las ponencias del Instituto de los medios de impugnación en materia de acceso a la información y protección de datos personales  </t>
  </si>
  <si>
    <t>(Medios de impugnación turnados / Medios de impugnación recibidos) x 100</t>
  </si>
  <si>
    <t>Porcentaje de resoluciones a medios de impugnación procesados en menor tiempo respecto a las resoluciones votadas y aprobadas.</t>
  </si>
  <si>
    <t>Recopilación de las firmas de los Comisionados del Instituto en las resoluciones en materia de acceso a la información y protección de datos personales en posesión de sujetos obligados.</t>
  </si>
  <si>
    <t>1- [(RRA con firmas completas en más de dos días / RRA aprobados por el Pleno)] x 100</t>
  </si>
  <si>
    <t>Porcentaje de resoluciones a medios de impugnación que  fueron notificadas en el tiempo establecido en la Ley General de Transparencia y Acceso a la Información Pública, respecto a las resoluciones votadas y aprobadas.</t>
  </si>
  <si>
    <t>Notificación de las resoluciones a medios de impugnación en materia de acceso a la información y protección de datos personales</t>
  </si>
  <si>
    <t>1- [(RRA notificados fuera de tiempo / RRA aprobados por el Pleno)] x 100</t>
  </si>
  <si>
    <t>Porcentaje de los audios y las versiones estenográficas de las sesiones del Pleno que han sido difundidas al público en general respecto del total de veces que el Pleno tuvo sesión en el periodo de medición.</t>
  </si>
  <si>
    <t>Difusión de las sesiones públicas que lleva a cabo el Pleno del Instituto</t>
  </si>
  <si>
    <t>{ (Versiones estenográficas + Audios) / Sesiones del Pleno x 2 } x 100</t>
  </si>
  <si>
    <t>Porcentaje de los medios de impugnación (RDA, RRA, VFR, RPD, RIA, RAA) que están publicados en la lista de sentidos de resolución, respecto del total de resoluciones a tales medios aprobadas por el Pleno del Instituto.</t>
  </si>
  <si>
    <t xml:space="preserve">Difusión de las resoluciones del Pleno del Instituto a medios de impugnación en materia de acceso a la información y protección de datos personales </t>
  </si>
  <si>
    <t xml:space="preserve"> { (Medios de impugnación en lista - Ampliaciones) / (Medios de impugnación votados y aprobados - Ampliaciones) } x 100</t>
  </si>
  <si>
    <t>Porcentaje de las Actas de las sesiones públicas del Pleno que han sido concretadas y difundidas al público en general, respecto al total de Actas concretadas.</t>
  </si>
  <si>
    <t>Difusión de las Actas de las sesiones públicas del Pleno</t>
  </si>
  <si>
    <t xml:space="preserve"> (Actas difundidas / Actas concretadas) x 100</t>
  </si>
  <si>
    <t>Porcentaje de los Acuerdos del Pleno que han sido concretados y difundidos al público en general</t>
  </si>
  <si>
    <t>Difusión de los Acuerdos del Pleno</t>
  </si>
  <si>
    <t>(Acuerdos difundidos / Acuerdos concretados) x 100</t>
  </si>
  <si>
    <t>Porcentaje de proyectos de Acuerdo que tardan un día en elaborarse, una vez que se cuenta con los elementos de fundamentación y motivación necesarios para la elaboración de los mismos, respecto del número total de Acuerdos elaborados en el periodo.</t>
  </si>
  <si>
    <t>Integración de los proyectos de Acuerdo de los asuntos que se presentan al Pleno, con los elementos de fundamentación y motivación que las áreas proporcionen en el ámbito de su competencia.</t>
  </si>
  <si>
    <t>[1-(Proyectos aprobados entregados en más de un día / Proyectos aprobados)]x 100</t>
  </si>
  <si>
    <t>Porcentaje de reportes de cumplimiento a instrucciones que fue entregado semanalmente, respecto del total de semanas hábiles en el año.</t>
  </si>
  <si>
    <t>Seguimiento y reporte del estado que guarda el cumplimiento a las Instrucciones realizadas a las Unidades Administrativas del Instituto a través de los Acuerdos que aprueba el Pleno del mismo.</t>
  </si>
  <si>
    <t xml:space="preserve"> (Reportes entregados / Semanas hábiles) x 100</t>
  </si>
  <si>
    <t>Porcentaje de emisiones del reporte de resoluciones y discusiones públicas entregados en tiempo respecto del total de emisiones del reporte</t>
  </si>
  <si>
    <t xml:space="preserve">Entrega en tiempo el reporte de resoluciones a medios de impugnación y de proyectos de resolución discutidos públicamente. </t>
  </si>
  <si>
    <t>[1- ( Reportes que no se entregaron al día siguiente / sesiones )] x 100</t>
  </si>
  <si>
    <t>Porcentaje de emisiones del reporte del estado que guardan los medios de impugnación entregados en tiempo respecto del total de emisiones del reporte</t>
  </si>
  <si>
    <t xml:space="preserve">Entrega en tiempo el reporte del estado que guardan los medios de impugnación. </t>
  </si>
  <si>
    <t>[1-( Reportes que no se entregaron al día siguiente / sesiones )] x 100</t>
  </si>
  <si>
    <t>Porcentaje de emisiones del reporte de resoluciones en materia de la LFPDPPP que fueron generados, como porcentaje de las sesiones del Pleno para resolver los asuntos en materia de la LFPDPPP</t>
  </si>
  <si>
    <t xml:space="preserve">Entrega en tiempo del reporte de resoluciones en materia de la Ley Federal de Protección de Datos Personales en Posesión de Particulares. </t>
  </si>
  <si>
    <t>[1- ( Reportes no generados / Sesiones del Pleno en materia de la LFPDPPP )] x 100</t>
  </si>
  <si>
    <t>Porcentaje de documentos elaborados en un día hábil, respecto del total de documentos solicitados.</t>
  </si>
  <si>
    <t>Elaboración de documentos relacionados con las actividades que realiza y controla la Dirección General de Atención al Pleno creados para  atender los requerimientos formulados por las ponencias, así como por otras Unidades Administrativas del Instituto.</t>
  </si>
  <si>
    <t>[1-(Documentos elaborados en más de un día / Documentos solicitados)] x 100</t>
  </si>
  <si>
    <t>Al momento de establecer la meta se esperaba contar con un sistema de firma electrónica que ayudara a reducir el tiempo de notificación (variable "b" del cálculo). Durante el año 2017 no fue posible implementar dicha automatización por lo que la firma de resoluciones fue manual, lo que generó que el tiempo de la actividad fuera en general mayor al esperado.
Como consecuencia, en la mayoría de las ocasiones las personas fueron notificadas de las resoluciones del Instituto en un tiempo mayor al establecido por la Ley.
Desde mayo de 2017 se tomaron medidas para intentar agilizar los procedimientos manuales existentes y se monitorearon constantemente los resultados.
Para 2018 se mantendrán dichos controles y se seguirá buscando implementar un sistema de firma electrónica que agilice el procedimiento.</t>
  </si>
  <si>
    <t>Las demoras en la firma de resoluciones impacta en que toma más tiempo poder realizar la notificación de las mismas a los sujetos obligados y a los particulares.</t>
  </si>
  <si>
    <t>Al momento de establecer la meta se esperaba contar con un sistema de firma electrónica que ayudara a reducir el tiempo de notificación (segunda variable del cálculo). Durante el año 2017 no fue posible implementar dicha automatización por lo que la firma de resoluciones fue manual, lo que generó que el tiempo de la actividad fuera en general mayor al esperado.
Como consecuencia, en la mayoría de las ocasiones las personas fueron notificadas de las resoluciones del Instituto en un tiempo mayor al establecido por la Ley.
Desde mayo de 2017 se tomaron medidas para intentar agilizar los procedimientos manuales existentes y se monitorearon constantemente los resultados.
Para 2018 se mantendrán dichos controles y se permanecerá buscando implementar un sistema de firma electrónica que agilice el procedimiento.</t>
  </si>
  <si>
    <t>El resultado fue menor que el esperado, la causa es la misma que las descritas en Fin y Propósito. La meta no se cumplió principalmente porque no se pudo cumplir con la notificación de las resoluciones a medios de impugnación en el periodo de Ley.
Como consecuencia, en la mayoría de las ocasiones las personas fueron notificadas de las resoluciones del Instituto en un tiempo mayor al establecido por la Ley.
Desde mayo de 2017 se tomaron medidas para intentar agilizar los procedimientos manuales existentes y se monitorearon constantemente los resultados.
Para 2018 se mantendrán dichos controles y se permanecerá buscando implementar un sistema de firma electrónica que agilice el procedimiento.
En lo que respecta al turno de medios de impugnación, este se realizó en tiempo. Como resultado, las ponencias pudieron determinar la procedencia de los mismos y, en su caso, sustanciarlos para dar una respuesta a los recurrentes.</t>
  </si>
  <si>
    <t>La meta se superó. La mayoría de las actuaciones del Pleno están publicadas en la página del Instituto (audios, versiones estenográficas, actas, Acuerdos y sentidos de resolución a los medios de impugnación).
Con esta actividad la Dirección General de Atención al Pleno colaboró en poner al alcance del público en general la documentación que respalda las actuaciones del Pleno del Instituto.</t>
  </si>
  <si>
    <t>Con la información de las sesiones del Pleno publicadas en la página del Instituto, el público puede conocer a detalle los procedimientos en torno a la resolución a medios de impugnación en materia de acceso a la información y protección de datos personales.</t>
  </si>
  <si>
    <t>El resultado fue significativamente mejor que el esperado. Esto debido a que la Secretaría Técnica del Pleno participó en la simplificación de procedimientos para que las Unidades Administrativas del Instituto pudieran dar cuenta del cumplimiento a las instrucciones derivadas de los Acuerdos del Pleno.
Como resultado, los Comisionados fueron continuamente informados del seguimiento que las Unidades Administrativas dieron al cumplimiento de las instrucciones del Pleno, lo que ayuda a garantizar el funcionamiento del Instituto de acuerdo con las directrices establecidas por el Pleno.</t>
  </si>
  <si>
    <t>Con el registro del cumplimiento a instrucciones que las Unidades Administrativas del Instituto informan a la Secretaría Técnica del Pleno, la Dirección General de Atención al Pleno colabora en dar cuenta a los Comisionados de la atención a las instrucciones del Pleno por parte de las mismas.</t>
  </si>
  <si>
    <t>Los Comisionados y las ponencias son informados semanalmente del estado que guardan los medios de impugnación. Adicionalmente, la Dirección General tiene resguardo de los reportes trimestrales a los que hace referencia el indicador. Con los reportes que se les entregan, los Comisionados y las ponencias pueden dar seguimiento a los medios de impugnación desde que ingresan al Instituto hasta el momento en el que corresponde a los sujetos obligados dar cumplimiento a las resoluciones del Pleno.</t>
  </si>
  <si>
    <t>Con los reportes semanales, los Comisionados y las ponencias son informados continuamente del estado que guardan los medios de impugnación; esto, adicional a los reportes trimestrales resguardados por la Dirección General.</t>
  </si>
  <si>
    <t>La meta fue alcanzada, más de 99% de los medios de impugnación ingresados al Instituto fueron turnados a las ponencias del mismo para que pudieran determinar su procedencia y, en su caso, sustanciar y dar solución al particular. 
El 1% restante corresponde a asuntos ingresados al final del año, mismos que también fueron turnados pero en los primeros días hábiles de 2018.
Con esta actividad, la Dirección General de Atención al Pleno apoya en la tramitación de medios de medios de impugnación.</t>
  </si>
  <si>
    <t>El turno de los medios de impugnación a los Comisionados para su sustanciación y posterior resolución se realizó en tiempo, con lo que la Dirección General coadyuva a la tutela de los derechos de acceso a la información y protección de datos personales.</t>
  </si>
  <si>
    <t>El resultado obtenido fue significativamente menor a la meta. El principal motivo es el tiempo que toma a los Comisionados firmar las versiones finales de las resoluciones. Para poder tener un mejor resultado, se requiere la participación conjunta de las Unidades Administrativas involucradas para poder acelerar el procedimiento de firma de resoluciones (por ejemplo, a través del uso de la firma electrónica). Desde el mes de mayo se ha intentado implementar medidas con las áreas involucradas para revertir este problema. Sin embargo, no fue posible concretar la automatización en 2017.
Como consecuencia, en la mayoría de los casos, las personas son notificadas de las resoluciones del Instituto en un tiempo mayor al establecido en la Ley.
A lo largo del año se observó mejora en el indicador, pero aún esta lejos de la meta. En 2018 se seguirá trabajando para contar con la firma electrónica y poder realizar las notificaciones en el tiempo establecido por la Ley.</t>
  </si>
  <si>
    <t>El resultado obtenido fue significativamente menor a la meta. El principal motivo es que la notificación de resoluciones depende de que las mismas hayan sido firmadas. Al igual que en la actividad 1.2, este resultado se relaciona con el tiempo que toma a los Comisionados firmar las versiones finales de las resoluciones. Para poder tener un mejor resultado, se requiere la participación conjunta de las Unidades Administrativas involucradas para poder acelerar el procedimiento de firma de resoluciones (por ejemplo, a través del uso de la firma electrónica). Desde el mes de mayo se ha intentado implementar medidas con las áreas involucradas para revertir este problema.
Durante 2018 se seguirá intentando implementar la firma electrónica para poder realizar las notificaciones en el tiempo establecido por la Ley.</t>
  </si>
  <si>
    <t>La meta se alcanzó en su totalidad. A la fecha de corte, la totalidad de audios y versiones estenográficas de las sesiones del Pleno se encuentran disponibles en la página del Instituto. Con esta acción, la Dirección General de Atención al Pleno apoya a poner a disposición del público en general las actuaciones del Pleno del Instituto.</t>
  </si>
  <si>
    <t>El público en general puede consultar a la brevedad las versiones estenográficas y los audios de las sesiones del Pleno del Instituto.</t>
  </si>
  <si>
    <t>La meta se alcanzó en su totalidad. A la fecha de corte, la totalidad de sentidos en los que se resolvieron los medios de impugnación durante el periodo, se encuentran disponibles en la página del Instituto. Con esta acción, la Dirección General de Atención al Pleno apoya a poner a disposición del público en general las actuaciones del Pleno del Instituto.</t>
  </si>
  <si>
    <t>El público en general puede consultar a la brevedad el sentido en el que se resuelven los medios de impugnación.</t>
  </si>
  <si>
    <t>La meta fue alcanzada. En cuanto se concreta un Acta (con la firma de los Comisionados), se publica en la página del Instituto. Mientras no se cuenta con dicha versión final, se publica el proyecto de Acta de cada sesión. Con esta acción, la Dirección General de Atención al Pleno apoya a poner a disposición del público en general las actuaciones del Pleno del Instituto.</t>
  </si>
  <si>
    <t>El público en general no puede consultar a la brevedad las Actas de las sesiones del Pleno, sino hasta que estas han sido firmadas por todos los Comisionados. Para subsanar esta problemática, se incorporan a la página del Instituto versiones preliminares.</t>
  </si>
  <si>
    <t xml:space="preserve">La meta se alcanzó. En cuanto un Acuerdo es concretado se difunde en la página del Instituto. Con esta actividad, la Dirección General de Atención al Pleno colabora en la difusión de la información relacionada con las actuaciones del Pleno del Instituto. </t>
  </si>
  <si>
    <t>El público en general puede consultar a los Acuerdos del Pleno del Instituto una vez que los mismos han sido concretados.</t>
  </si>
  <si>
    <t>El resultado obtenido es cercano a la meta. La mayoría de los proyectos de Acuerdo son entregados a más tardar al día siguiente de que se recibieron los elementos de fundamentación y motivación necesarios para la elaboración de los mismos. Con esto, la Dirección General de Atención al Pleno apoya en la formalización de los Acuerdos del Pleno.</t>
  </si>
  <si>
    <t>Con la gestión de los proyectos de Acuerdo, la Dirección General de Atención al Pleno contribuye a la celeridad con la que se atienden temas prioritarios del Instituto, mismos que son aprobados a través de los proyectos de Acuerdo que son sometidos a votación del Pleno del Instituto.</t>
  </si>
  <si>
    <t>Al inicio de 2017 hubo diversos problemas en la Dirección General que impidieron la entrega del reporte (como se reportó en su momento). Fueron tales incidencias del primer trimestre las que ocasionaron que en el anual el resultado quedara por debajo de la meta.
Sin embargo, para los siguientes tres trimestres, se alcanzó la meta programada. En cada semana se emitió un reporte de cumplimiento a instrucciones, con lo que la Dirección General de Atención al Pleno mantiene a los Comisionados permanente informados del avance que tienen: a) el estado que guardan los Acuerdos que fueron aprobados por el Pleno, b) la publicación de los mismos en la página del Instituto y c) el seguimiento al cumplimiento de las instrucciones derivadas de los mismos.</t>
  </si>
  <si>
    <t>Los retrasos observados en las fechas de entrega de reporte tuvieron efecto en la celeridad con que los Comisionados pudieron contar con la actualización del estado que guardan las instrucciones derivadas de los Acuerdos del Pleno. No se generaron efectos adversos para la tutela de los derechos de acceso a la información y protección de datos personales.</t>
  </si>
  <si>
    <t xml:space="preserve">El valor obtenido fue menor  a la meta. Por sobre cargas de trabajo en la Dirección responsable, en la Dirección General y en la Secretaría Técnica del Pleno no se entregaron en tiempo los insumos necesarios para la generación de los reportes. 
Dado que a partir de junio de 2017, el Secretario Técnico del Pleno modificó la modalidad de entrega del reporte, se consideran "en tiempo" los reportes entregados a más tardar al tercer día siguiente.
La modificación de los días en los que se celebra la sesión también han impactado en la entrega de los reportes, puesto que se deben ajustar prioridades en la Dirección responsable.
No se considera que haya un impacto grave derivado de este resultado puesto que los reportes están siendo entregados a los Comisionados, aunque no sea en la fecha originalmente propuesta. </t>
  </si>
  <si>
    <t>Los retrasos observados en las fechas de entrega de reporte tuvieron efecto en la celeridad con que los Comisionados pudieron contar con la actualización de las resoluciones del Pleno y los asuntos discutidos públicamente. No se generaron efectos adversos para la tutela de los derechos de acceso a la información y protección de datos personales.</t>
  </si>
  <si>
    <t xml:space="preserve">El valor obtenido fue menor  a la meta. Por sobrecargas de trabajo en la Dirección responsable, en la Dirección General y en la Secretaría Técnica del Pleno no se entregaron en tiempo los insumos necesarios para la generación de los reportes. 
Dado que a partir de junio de 2017, el Secretario Técnico del Pleno modificó la modalidad de entrega del reporte, se consideran "en tiempo" los reportes entregados a más tardar al tercer día siguiente.
La modificación de los días en los que se celebra la sesión también han impactado en la entrega de los reportes, puesto que se deben ajustar prioridades en la Dirección responsable.
No se considera que haya un impacto grave derivado de este resultado puesto que los reportes están siendo entregados a los Comisionados, aunque no sea en la fecha originalmente propuesta. </t>
  </si>
  <si>
    <t>Los retrasos observados en las fechas de entrega de reporte tuvieron efecto en la celeridad con que los Comisionados pudieron contar con la actualización del estado que guardan los medios de impugnación. No se generaron efectos adversos para la tutela de los derechos de acceso a la información y protección de datos personales.</t>
  </si>
  <si>
    <t>El reporte fue generado durante todo el año. Con esta actividad, la Dirección General de Atención al Pleno mantiene un reporte de los asuntos resueltos en materia de la Ley Federal de Protección de Datos Personales en Posesión de Particulares.</t>
  </si>
  <si>
    <t>La Dirección General de Atención al Pleno mantuvo un reporte de los asuntos resueltos en materia de la Ley Federal de Protección de Datos Personales en Posesión de Particulares.</t>
  </si>
  <si>
    <t>La meta se alcanzó en el periodo. Poco más del 95% de los requerimientos de las ponencias y diversas Unidades Administrativas del Instituto fueron atendidos a más tardar al día siguiente que fueron realizados y/o en fechas previas a las requeridas por los usuarios. Con esta actividad, la Dirección General de Atención al Pleno brinda asistencia a los Comisionados y a diversas Unidades Administrativas del Instituto al proporcionarles reportes del estado que guardan los medios de impugnación.</t>
  </si>
  <si>
    <t>No hubo efecto para las Unidades Administrativas usuarias de la información puesto que los requerimientos fueron atendidos.</t>
  </si>
  <si>
    <t>720 - Dirección General de Cumplimientos y Responsabilidades</t>
  </si>
  <si>
    <t>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dio seguimiento.</t>
  </si>
  <si>
    <t xml:space="preserve">Contribuir a garantizar el óptimo cumplimiento de los derechos de acceso a la información pública y de protección de datos personales, mediante el ejercicio de las atribuciones legales conferidas para hacer efectivo el cumplimiento de las resoluciones emitidas por el Pleno del Instituto, en los medios de impugnación en materia de acceso a la información pública y protección de datos personales en posesión de sujetos obligados. </t>
  </si>
  <si>
    <t>(Número de resoluciones con instrucción cumplidas con vencimiento en el periodo + Número de vistas o denuncias presentadas, o procedimientos sancionatorios iniciados, por persistir el incumplimiento de resoluciones emitidas por el Pleno del Instituto / Número de resoluciones cuyo plazo de seguimiento al cumplimiento venció en el periodo que se reporta)*100</t>
  </si>
  <si>
    <t>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t>
  </si>
  <si>
    <t>El Instituto ejerce las atribuciones legales conferidas para hacer efectivo el cumplimiento de las resoluciones emitidas por el Pleno, en los medios de impugnación en materia de acceso a la información pública y protección de datos personales en posesión de sujetos obligados.</t>
  </si>
  <si>
    <t>(Número de resoluciones con instrucción con vencimiento en el periodo que permanecieron incumplidas a pesar de que se dictaron medidas de apremio / Número de resoluciones cuyo plazo de seguimiento al cumplimiento venció en el periodo que se reporta)*100</t>
  </si>
  <si>
    <t>Media geométrica de las acciones que se realizan ante el incumplimiento de las resoluciones emitidas por el Pleno del Instituto, en los medios de impugnación en materia de acceso a la información pública y protección de datos personales en posesión de sujetos obligados.</t>
  </si>
  <si>
    <t>Mecanismo implementado para la ejecución de las acciones que se realizan ante el incumplimiento de las resoluciones emitidas por el Pleno del Instituto, en los medios de impugnación en materia de acceso a la información pública y protección de datos personales en posesión de sujetos obligados.</t>
  </si>
  <si>
    <t xml:space="preserve"> 4√(Porcentaje de verificación del cumplimiento a resoluciones emitidas por el Pleno del Instituto, en los medios de impugnación en materia de acceso a la información pública y protección de datos personales en posesión de sujetos obligados, respecto del total de resoluciones de esta naturaleza con instrucción cuyo plazo de seguimiento venció en el periodo * 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 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 Porcentaje de proyectos de resolución elaborados, correspondientes a procedimientos sancionatorios, respecto del total de procedimientos en los que se decretó el cierre de instrucción y se pasó el expediente a resolución)</t>
  </si>
  <si>
    <t>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t>
  </si>
  <si>
    <t>Verificación del cumplimiento a las resoluciones emitidas por el Pleno del Instituto, en los medios de impugnación en materia de acceso a la información pública y protección de datos personales en posesión de sujetos obligados.</t>
  </si>
  <si>
    <t>(Número de resoluciones cumplidas / Número de resoluciones con instrucción cuyo plazo para el seguimiento de su cumplimiento venció en el periodo)*100</t>
  </si>
  <si>
    <t>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t>
  </si>
  <si>
    <t>Seguimiento a las vistas ordenadas por el Pleno del Instituto, en las resoluciones emitidas en los medios de impugnación en materia de acceso a la información pública y protección de datos personales en posesión de sujetos obligados, a través de la atención de los requerimientos formulados por los órganos internos de control en los sujetos obligados y demás autoridades competentes, a fin de coadyuvar con la investigación de presuntas infracciones a la normativa en la materia.</t>
  </si>
  <si>
    <t>(Número de requerimientos atendidos por la Dirección General de Cumplimientos y Responsabilidades / Número de requerimientos formulados por los órganos internos de control en los sujetos obligados y demás autoridades competentes)*100</t>
  </si>
  <si>
    <t>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t>
  </si>
  <si>
    <t>Análisis de los expedientes de seguimiento al cumplimiento de resoluciones emitidas por el Pleno del Instituto, en los medios de impugnación en materia de acceso a la información pública y protección de datos personales en posesión de sujetos obligados, que son turnados para determinar la procedencia de dar vista o elaborar proyectos de denuncia, por persistir el incumplimiento de resoluciones emitidas por este organismo garante.</t>
  </si>
  <si>
    <t>(Número de expedientes de seguimiento al cumplimiento de resoluciones analizados para determinar la procedencia de dar vista o elaborar proyecto de denuncia / Número de expedientes de seguimiento al cumplimiento de resoluciones turnados por persistir el incumplimiento de resoluciones emitidas por el Pleno del Instituto)*100</t>
  </si>
  <si>
    <t>Porcentaje de proyectos de resolución elaborados, correspondientes a procedimientos sancionatorios, respecto del total de procedimientos en los que se decretó el cierre de instrucción y se pasó el expediente a resolución.</t>
  </si>
  <si>
    <t>Sustanciación de los procedimientos sancionatorios previstos en la Ley Federal de Transparencia y Acceso a la Información Pública, en contra de presuntos infractores de sujetos obligados que no cuenten con el carácter de servidores públicos ni sean partidos políticos.</t>
  </si>
  <si>
    <t>(Número de procedimientos sancionatorios en los que se decretó el cierre de instrucción y se pasó el expediente a resolución  / Número de proyectos de resolución elaborados para ser sometidos a consideración del Pleno del Instituto)*100</t>
  </si>
  <si>
    <t>El cumplimiento de la meta implica que, al cierre del ejercicio dos mil diecisiete, en el 99.31% de los asuntos se ejercieron las acciones que se realizan ante el incumplimiento de las resoluciones emitidas por el Pleno del Instituto.</t>
  </si>
  <si>
    <t>La Dirección General de Cumplimientos y Responsabilidades ejerció las atribuciones legales que le fueron conferidas para hacer efectivo el acatamiento de las resoluciones emitidas por el Pleno del Instituto, contribuyendo a garantizar el óptimo cumplimiento de los derechos de acceso a la información pública y de protección de datos personales en posesión de sujetos obligados.</t>
  </si>
  <si>
    <t>Derivado de las acciones de seguimiento realizadas mediante requerimientos, asesorías, orientaciones y vistas a órganos internos de control, Comités de Transparencia o superiores jerárquicos, según fuera el caso, se logró superar la meta programada y disminuir en consecuencia el índice de posibles incumplimientos.</t>
  </si>
  <si>
    <t>El índice de cumplimiento de los sujetos obligados se mantuvo en niveles óptimos, derivado de la eficacia de las acciones y gestiones realizadas por la Dirección General de Cumplimientos y Responsabilidades para verificar el acatamiento de las resoluciones con instrucción emitidas por el Pleno de este organismo garante.</t>
  </si>
  <si>
    <t>El cumplimiento de la meta implica que, al cierre del ejercicio dos mil diecisiete, el nivel promedio de cumplimiento anual de los indicadores de nivel "Actividad", de la Matriz de Indicadores para Resultados (MIR) de la Dirección General de Cumplimientos y Responsabilidades, alcanzó un 99.83%.</t>
  </si>
  <si>
    <t>El cumplimiento de la meta implica que, al cierre del ejercicio dos mil diecisiete, el 100% de los requerimientos formulados por los órganos internos de control y demás autoridades competentes fueron atendidos, a fin de coadyuvar con la investigación de presuntas infracciones a la normativa en la materia.</t>
  </si>
  <si>
    <t>La Dirección General de Cumplimientos y Responsabilidades coadyuvó con la investigación de presuntas infracciones a la normativa en la materia, a través de la atención de los requerimientos formulados por los órganos internos de control en los sujetos obligados y demás autoridades competentes, derivados de las vistas ordenadas por el Pleno del Instituto, en las resoluciones emitidas en los medios de impugnación en materia de acceso a la información pública y protección de datos personales en posesión de sujetos obligados.</t>
  </si>
  <si>
    <t>El cumplimiento de la meta implica que, al cierre del ejercicio dos mil diecisiete, el 100% de los asuntos se analizaron para determinar si resultaba procedente dar vista o elaborar el proyecto de denuncia correspondiente.</t>
  </si>
  <si>
    <t>La Dirección General de Cumplimientos y Responsabilidades llevó a cabo el análisis de los expedientes de seguimiento a las resoluciones emitidas por el Pleno del Instituto, en los medios de impugnación en materia de acceso a la información pública y protección de datos personales en posesión de sujetos obligados, determinado la procedencia de dar vista o elaborar proyectos de denuncia, por persistir el incumplimiento de las determinaciones de este organismo garante.</t>
  </si>
  <si>
    <t>El cumplimiento de la meta implica que, al cierre del ejercicio dos mil diecisiete, en el 100% de los casos se elaboró el proyecto correspondiente, en aquellos procedimientos sancionatorios en los que se decretó el cierre de instrucción y se pasó el expediente a resolución.</t>
  </si>
  <si>
    <t>El Instituto comenzó a ejercer sus facultades para imponer sanciones por la inobservancia a las disposiciones en materia de transparencia y acceso a la información, resolviendo procedimientos sancionatorios en contra de presuntos infractores de sujetos obligados que no cuentan con el carácter de servidores públicos ni son partidos políticos.</t>
  </si>
  <si>
    <t>320 - Dirección General de Evaluación</t>
  </si>
  <si>
    <t xml:space="preserve">Secretaría de Acceso a la Información </t>
  </si>
  <si>
    <t>Índice de aumento y dispersión del Índice Compuesto del Cumplimiento de Obligaciones de Transparencia (ICCOT)</t>
  </si>
  <si>
    <t>Contribuir a garantizar el óptimo cumplimiento  de los derechos de acceso a la información pública y  protección de datos personales a través del desarrollo de un marco regulatorio y de procedimientos que propicien la observancia plena de las obligaciones de transparencia y acceso a la información en sus diferentes dimensiones por parte de los sujetos obligados</t>
  </si>
  <si>
    <t>IADICCOT = X͂ICCOT/σICCOT
Índice de aumento y dispersión del ICCOT</t>
  </si>
  <si>
    <t>Índice Compuesto del Cumplimiento de Obligaciones de Transparencia (ICCOT)</t>
  </si>
  <si>
    <t>Los Sujetos Obligados del ámbito Federal internalizan sus obligaciones de transparencia en sus dimensiones: Portal de Internet, Calidad de las Respuestas, Atención prestada por la Unidad de Transparencia y Acciones de Capacitación.</t>
  </si>
  <si>
    <r>
      <t xml:space="preserve">Promedio ponderado de las cuatro dimensiones de la transparencia que serán valoradas a los Sujetos Obligados del ámbito Federal.
ICCOT = </t>
    </r>
    <r>
      <rPr>
        <sz val="9"/>
        <color indexed="8"/>
        <rFont val="Arial Narrow"/>
        <family val="2"/>
      </rPr>
      <t>αIGCPT+βIGCR+γIGDUT+δIGCAP</t>
    </r>
  </si>
  <si>
    <t>Porcentaje de propuestas de ajustes a las herramientas</t>
  </si>
  <si>
    <t xml:space="preserve"> Propuesta de ajustes a las herramientas que permiten la medición del cumplimiento de las obligaciones de transparencia por parte de los sujetos obligados del ámbito federal formuladas.</t>
  </si>
  <si>
    <t>Porcentaje de propuestas de ajustes a las herramientas = (Suma de propuestas de ajustes a las herramientas / Herramientas identificadas con necesidades de ajuste ) * 100</t>
  </si>
  <si>
    <t>Porcentaje de dimensiones verificadas</t>
  </si>
  <si>
    <t>Verificación de los sujetos obligados del ámbito federal en el cumplimiento de sus obligaciones de transparencia en las diferentes dimensiones.</t>
  </si>
  <si>
    <t>Porcentaje de dimensiones verificadas = (Número de dimensiones verificadas / Total de dimensiones a valorar) * 100</t>
  </si>
  <si>
    <t>Porcentaje reportes generados por cada una de las dimensiones verificadas</t>
  </si>
  <si>
    <t>Reportes de recomendaciones realizadas de acuerdo al desempeño diferenciado por parte de cada uno de los sujetos obligados del ámbito federal donde se propondrán políticas específicas de atención.</t>
  </si>
  <si>
    <t>Porcentaje de reportes generados por cada una de las dimensiones verificadas = (Reportes generados por dimensión valorada a los sujeto obligado del ámbito federal y que fueron remitidos a las Direcciones Generales de Enlace / Total de reportes a generar por dimensión valorada a los sujeto obligado del ámbito federal y que serán remitidos a las Direcciones Generales de Enlace ) *100</t>
  </si>
  <si>
    <t>Porcentaje de eventos realizados</t>
  </si>
  <si>
    <t>Eventos realizados en apoyo a los integrantes del Sistema Nacional de Transparencia y a los sujetos obligados del ámbito federal a través de las Direcciones Generales de Enlace que los coordinen, para la internalización de sus obligaciones de transparencia.</t>
  </si>
  <si>
    <t>Porcentaje de eventos realizados = (Número de asesorías realizadas / Total de asesorías programadas)*100</t>
  </si>
  <si>
    <t>Porcentaje de avance en la integración del Sistema de Información Estadística de la Evaluación.</t>
  </si>
  <si>
    <t>Sistema de información estadística integrado que permita procesar los resultados de las evaluaciones del cumplimiento de las obligaciones de transparencia, además de proporcionar reportes estandarizados y bajo demanda para la toma de decisiones.</t>
  </si>
  <si>
    <t>(∑ rsiei / ∑ nsiei ) * 100
(Suma de acciones realizadas para integrar el sistema estadístico de la evaluación  / Suma de acciones necesarias para integrar el sistema estadístico de la evaluación) * 100</t>
  </si>
  <si>
    <t>Porcentaje de herramientas identificadas con necesidades de ajuste</t>
  </si>
  <si>
    <t>Identificación de necesidades para el ajuste de las herramientas que permiten medir el cumplimiento de las obligaciones de transparencia por parte de los sujetos obligados del ámbito federal.</t>
  </si>
  <si>
    <t>Porcentaje de herramientas identificadas con necesidades de ajuste = (Herramientas a las que se les identifican áreas de oportunidad para ajustarse / Total de herramientas existentes)</t>
  </si>
  <si>
    <t>Porcentaje de proyectos de ajustes remitidos</t>
  </si>
  <si>
    <t>Remisión de las propuestas de ajuste a las herramientas a las instancias competentes (Sistema Nacional de Transparencia y pleno del INAI).</t>
  </si>
  <si>
    <t>Porcentaje de proyectos de ajustes remitidos = (Proyectos de ajustes a las herramientas remitidos a las instancias correspondientes (SNT y pleno del INAI) / Proyectos generados ) * 100</t>
  </si>
  <si>
    <t>Porcentaje de dimensiones contempladas en el Programa</t>
  </si>
  <si>
    <t>Generación del documento denominado  Programa Anual de Verificación del cumplimiento de obligaciones de transparencia 2017.</t>
  </si>
  <si>
    <t>Porcentaje de dimensiones contempladas en el Programa = (Número de dimensiones propuestas a verificar en el programa de verificación / total de dimensiones susceptibles a valorar) * 100</t>
  </si>
  <si>
    <t>Porcentaje de avance en la integración del marco metodológico de la verificación de las condiciones de operación de las unidades de transparencia de los sujetos obligados en el ámbito federal (UTs)</t>
  </si>
  <si>
    <t>Verificación de las condiciones de operación de las Unidades de Transparencia de los Sujetos Obligados del ámbito federal mediante la técnica de usuario simulado.</t>
  </si>
  <si>
    <t>(∑ imri / ∑ imni ) * 100
(Suma de instrumentos metodológicos realizados para la verificación de las condiciones de operación de las UTs / Suma de instrumentos metodológicos necesarios para la verificación de las condiciones de operación de las UTs) * 100</t>
  </si>
  <si>
    <t>Porcentaje de reportes generados</t>
  </si>
  <si>
    <t>Elaboración de los reportes de resultados de la verificación diagnóstica en el cumplimiento de las obligaciones de transparencia de los sujetos obligados del ámbito federal.</t>
  </si>
  <si>
    <t>Porcentaje de reportes generados = (Numero de reportes de resultados realizados / Total de reportes de las dimensiones a valorar para cada una de las Direcciones Generales de Enlace con Sujetos Obligados del ámbito Federal) * 100</t>
  </si>
  <si>
    <t xml:space="preserve">Porcentaje de avance de análisis </t>
  </si>
  <si>
    <t>Análisis de los resultados de las verificaciones de carácter diagnóstico de cada dimensión, correspondientes a cada sujeto obligado del ámbito federal.</t>
  </si>
  <si>
    <t>Porcentaje de avance de análisis = (Número de dimensiones analizadas / Total de dimensiones valoradas) * 100</t>
  </si>
  <si>
    <t>Porcentaje de asesorías programadas</t>
  </si>
  <si>
    <t>Programación de asesorías solicitadas por los sujetos obligados del ámbito federal y los integrantes del Sistema Nacional de Transparencia.</t>
  </si>
  <si>
    <t>Porcentaje de asesorías programadas = (Asesorías programadas / Asesorías solicitadas)* 100</t>
  </si>
  <si>
    <t>Porcentaje de avance en la metodología de procesamiento de las evaluaciones al cumplimiento de las OT</t>
  </si>
  <si>
    <t>Diseño de la metodología estadística para procesar la información generada por las evaluaciones al cumplimiento de las Obligaciones de Transparencia (OT).</t>
  </si>
  <si>
    <t>(∑ bmi / ∑ bmni ) * 100
(Suma de acciones realizadas para diseñar la metodología de procesamiento de la información generada por las evaluaciones de cumplimiento de las OT / Suma de acciones necesarias para diseñar la metodología de procesamiento de la información generada por las evaluaciones de cumplimiento de las OT) * 100</t>
  </si>
  <si>
    <t>Porcentaje de cálculo del ICCOT</t>
  </si>
  <si>
    <t>Uso de la información generada por las Direcciones Generales de Enlace para calcular periódicamente componentes del Indicador Global de Obligaciones de Transparencia (ICCOT).</t>
  </si>
  <si>
    <t>(COICCOT/CPICCOT)*100
(Cálculo oportuno del ICCOT/Cálculo programado del ICCOT)*100</t>
  </si>
  <si>
    <t>Porcentaje de atención de la demanda de reportes estadísticos</t>
  </si>
  <si>
    <t>Atención a la demanda de reportes estadísticos sobre transparencia y acceso a la información por parte de Pleno, las Coordinaciones del INAI, así como las Direcciones Generales de Enlace. Además, atención a la demanda de datos necesarios para elaborar el Informe del INAI al Senado de conformidad con la Ley General de Transparencia y Acceso a la Información Pública; la Ley Federal de Transparencia y Acceso a la Información Pública;  y los Lineamientos para recabar la información de los sujetos obligados que permitan elaborar los informes anuales publicados en el Diario Oficial de la Federación el 12 de febrero de 2016.</t>
  </si>
  <si>
    <t xml:space="preserve">
(Número de Reportes Estadísticos Atendidos / Número de Reportes Estadísticos Demandados ) * 100
</t>
  </si>
  <si>
    <t>Porcentaje de estadísticas de Transparencia y de Acceso a la Información.</t>
  </si>
  <si>
    <t>Publicación proactiva de información estadística sobre transparencia y acceso a la información para ser utilizada por el Sistema Nacional de Transparencia, los sujetos obligados y el público en general.</t>
  </si>
  <si>
    <t>(EPublicadas / EProgramadas ) * 100</t>
  </si>
  <si>
    <t>Los datos reflejan que los resultados alrededor de la media aritmética del promedio de las calificaciones de portales fue superior a lo programado, lo cual puede explicarse fundamentalmente a la incorporación de nuevos sujetos obligados al Padrón que no contaban con experiencia en el cumplimiento de obligaciones y que por lo mismos, les costó mucho trabajo atender sus deberes en esta materia.</t>
  </si>
  <si>
    <t>Si bien los resultados son positivos, pues el índice de cumplimiento fue superior al estimado, el INAI cuidará el acompañamiento institucional a las dimensiones de la transparencia que tendrán una verificación de carácter diagnóstica en 2018.</t>
  </si>
  <si>
    <t>Sólo se identificó una herramienta susceptible de ajuste, los Lineamientos Técnicos emanados de la Ley General de Transparencia y Acceso a la Información Pública, toda vez que la verificación diagnóstica para las obligaciones de transparencia de la Ley Federal en la materia se programó para los meses de enero a abril de 2018, por lo que no era posible identificar áreas de oportunidad de este instrumento. Lo anterior se realizó con base en los siguientes Acuerdos:
1) ACUERDO mediante el cual se aprueba ampliar por causa de fuerza mayor, el plazo establecido en el Artículo Segundo Transitorio de los 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 Publicado en el Diario Oficial de la Federación el 19 de octubre de 2017.
2) ACUERDO mediante el cual se aprueba el Programa Anual para la Verificación del cumplimiento de las obligaciones en materia de transparencia por parte de los Sujetos Obligados del ámbito federal, correspondiente al ejercicio 2018. Publicado en el Diario Oficial de la Federación el 28 de diciembre de 2017.</t>
  </si>
  <si>
    <t>Las áreas de oportunidad de los Lineamientos Técnicos de las obligaciones emanadas de la LGTAIP, fueron detectadas gracias a la verificación de carácter diagnóstica que se realizó durante el ejercicio 2017.
Se recorre el proceso de verificación diagnóstica las obligaciones de la Ley Federal de Transparencia para el primer trimestre de 2018.</t>
  </si>
  <si>
    <t>Se desarrollaron los instrumentos de verificación para las dimensiones Respuestas a Solicitudes de Información y Unidades de Transparencia, aplicándose una prueba piloto para detectar áreas de oportunidad que deban atenderse para la verificación de carácter diagnóstica que se aplicará en 2018. La dimensión Capacitación fue calculada una vez que se obtuvieron los resultados consolidados.</t>
  </si>
  <si>
    <t xml:space="preserve">Al contarse con una primera aproximación del desempeño de los sujetos obligados, el INAI ya cuenta con un punto de partida para el despliegue de políticas focalizadas que en lo sucesivo, brindará a los sujetos obligados. </t>
  </si>
  <si>
    <t>Se generaron los reportes estadísticos de todas las dimensiones verificadas a las diferentes instancias de toma de decisiones del Instituto.</t>
  </si>
  <si>
    <t>Las Direcciones Generales de Enlace, así como la Dirección General de Capacitación, cuentan con la información del desempeño de cada una de las dimensiones verificadas, lo cual hace posible que cuenten con los referentes indispensables para brindar acompañamiento institucional a los sujetos obligados.</t>
  </si>
  <si>
    <t>El porcentaje del avance se ocasiona en virtud de que se estimó una cobertura del 95 por ciento de las peticiones de asesorías requeridas al INAI en apoyo al Sistema Nacional de Transparencia. En la medida de que los organismos garantes al internalizado el mensaje de capacitación del cumplimiento de obligaciones, particularmente del Sistema de Portales de Obligaciones de Transparencia, las peticiones de asesoría fueron diecisiete, mismas que fueron atendidas en su totalidad.</t>
  </si>
  <si>
    <t>Se logró una mayor autonomía para que los órganos garantes locales cumplan su misión institucional con sus propias capacidades institucionales.</t>
  </si>
  <si>
    <t>La publicación en los portales de los sujetos obligados y en la Plataforma Nacional de Transparencia de las obligaciones de transparencia derivadas de la Ley General de Transparencia y Acceso a la Información Pública pudo ser evaluada, por primera vez desde la entrada en vigor de la Ley, de manera diagnóstica por las Direcciones Generales de Enlace y los resultados y, en su caso, observaciones, plasmados en el formato de memoria técnica diseñado por la Dirección General de Evaluación (DGE). A su vez, la DGE pudo proceder a la validación de las memorias de los sujetos obligados a nivel federal, calcular las calificaciones por artículo y criterio, e integrar el Índice Global de Cumplimiento de las Obligaciones de Transparencia (IGCPT) del 100% de los sujetos obligados, lo cual puede ser comprobado con 829 memorias técnicas en donde se asentaron calificaciones y 33 actas en las que se dejó constancia legal de la no existencia de información  dentro del plazo en que se realizó la verificación.</t>
  </si>
  <si>
    <t>La existencia de un sistema de reportes permite conocer la información básica para hacer posible al interior del INAI, el despliegue de políticas focalizadas que deberán aplicar las Direcciones Generales de Enlace. De igual forma, es posible informar de forma oportuna los pormenores de los procedimientos de verificación del cumplimiento de obligaciones.</t>
  </si>
  <si>
    <t>Sólo se identificó una herramienta susceptible de ajuste, los Lineamientos Técnicos emanados de la Ley General de Transparencia y Acceso a la Información Pública, toda vez que la verificación diagnóstica para las obligaciones de transparencia de la Ley Federal en la materia se programó para los meses de enero a abril de 2018, lo anterior con base en los siguientes Acuerdos:
1) ACUERDO mediante el cual se aprueba ampliar por causa de fuerza mayor, el plazo establecido en el Artículo Segundo Transitorio de los 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 Publicado en el Diario Oficial de la Federación el 19 de octubre de 2017.
2) ACUERDO mediante el cual se aprueba el Programa Anual para la Verificación del cumplimiento de las obligaciones en materia de transparencia por parte de los Sujetos Obligados del ámbito federal, correspondiente al ejercicio 2018. Publicado en el Diario Oficial de la Federación el 28 de diciembre de 2017.</t>
  </si>
  <si>
    <t>Al identificarse áreas de oportunidad en los Lineamientos Técnicos de las obligaciones emanadas de la LGTAIP como consecuencia de la verificación diagnóstica, se realizaron cambios de estructura y criterios, mismos que fueron publicados en el DOF el pasado 15 de diciembre de 2017, con lo cual se mejoró la calidad, valor y eficiencia en la carga del cumplimiento de obligaciones para los sujetos y las personas que consulten el SIPOT.</t>
  </si>
  <si>
    <t>Se remitió a la Comisión de Indicadores, Evaluación e Investigación la propuesta de ajustes a los Lineamientos Técnicos emanados de la LGTAIP, la cual fue aprobada por el Pleno del Sistema Nacional de Transparencia, y que fue publicado en el DOF el 28 de diciembre de 2017, bajo la siguiente denominación: "ACUERDO por el cual se aprueban las modificaciones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</si>
  <si>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Al identificarse áreas de oportunidad  en los Lineamientos Técnicos de las obligaciones emanadas de la LGTAIP como consecuencia de la verificación diagnóstica, se realizaron cambios de estructura y criterios, mismos que fueron publicados en el DOF el pasado 15 de diciembre de 2017, con lo cual se mejoró la calidad, valor y eficiencia en la carga del cumplimiento de obligaciones para los sujetos y las personas que consulten el SIPOT.</t>
  </si>
  <si>
    <t>El Programa Anual de Verificación 2017 sólo contempló la valoración de la dimensión portales, debido a que se identificó la necesidad de implementar una prueba piloto para las Dimensiones Respuestas a Solicitudes de Información y Unidades de Transparencia para asegurar que sus instrumentos de medición cuenten con los atributos necesarios para recoger el desempeño de los sujetos obligados en cada dimensión. Este circunstancia no afecta la obtención del fin pues el desarrollo de herramientas de verificación continuó en todas la dimensiones; sólo se modificó su carácter en dos de ellas (Respuestas a Solicitudes de Información y Unidades de Transparencia) del tipo diagnóstico a "Prueba Piloto".</t>
  </si>
  <si>
    <t>Las herramientas necesarias fueron cuatro: Ficha Técnica, Cédula de Usuario Simulado, Cédula de Unidad de Transparencia y Directrices de verificador como sustituto de Manual del Verificador. Al realizarse una prueba piloto en esta dimensión, no podía generarse un Manual del Verificador pues el proceso y las herramientas estuvieron sujetas a valoración, en cambio, como un sustituto se plantearon directrices de actuación a los verificadores en el cuerpo de los instrumentos.</t>
  </si>
  <si>
    <t>Se realizaron la totalidad de los análisis de resultados que se emitieron con reportes a las diferentes instancias del Instituto.</t>
  </si>
  <si>
    <t>Las Direcciones Generales de Enlace, así como la Dirección General de Capacitación, cuentan con la información estadística de cada una de las dimensiones verificadas, lo cual hace posible que cuenten con los referentes indispensables para brindar acompañamiento institucional a los sujetos obligados.</t>
  </si>
  <si>
    <t>Se atendieron el total de asesorías solicitadas.
Las peticiones de asesorías se concentraron en la Ponencia del Comisionado Óscar Guerra Ford, quien a su vez, las comunicó a la Dirección General de Evaluación.</t>
  </si>
  <si>
    <t>Los servidores públicos de los estados que fueron visitados, cuentan con las herramientas básicas necesarias para realizar la carga, modificación y eliminación de información, así como la administración de los distintos roles que participan en el SIPOT. Por otro lado, conocen la normativa básica sobre la que se encuentra fundamentada la publicación de la información establecida en las Leyes General y Federal de Transparencia.</t>
  </si>
  <si>
    <t>Se generó la totalidad de las cuatro fichas técnicas de las dimensiones a valorar: a) Portales, b) Respuestas a Solicitudes de Información, c) Capacidades institucionales de Unidades de Transparencia y d) Acciones de Capacitación.</t>
  </si>
  <si>
    <t>Las diferentes áreas del INAI están en condiciones de contar con la información estadística de cada una de las dimensiones de la transparencia sujetas a verificación, lo cual hace posible que cuenten con los referentes indispensables para brindar acompañamiento institucional a los sujetos obligados.</t>
  </si>
  <si>
    <t>Una vez realizadas la verificaciones por cada dimensión, se procedió al cálculo de los respectivos índices.</t>
  </si>
  <si>
    <t>Se cuenta con referentes de valoración que informan de forma sintética del desempeño de los sujetos obligados en las cuatro dimensiones de la transparencia.</t>
  </si>
  <si>
    <t>Se tiene un 100% de cumplimiento de la meta anual, que puede ser comprobado con 602 reportes estadísticos de minería de datos y presentaciones ejecutivas, así como información para dar seguimiento a la atención prestada por los sujetos obligados del ámbito federal a las solicitudes de información que les son ingresadas por los particulares, toda vez que la generación de estos documentos es a petición expresa y se atendieron las solicitudes en todos los casos</t>
  </si>
  <si>
    <t>Índice de ajuste BI-Endeca</t>
  </si>
  <si>
    <t>Se cancela indicador mediante oficio INAI/SAI-DGE/507/17. Toda vez que, la migración de los sistemas Infomex no se concentrará hasta finales de 2018, ya no se ejecutará el "Ajuste a los Sistemas Oracle Business Intelligence  y Oracle Endeca Information  para integrar la información de Infomex, POT y Hcom con la nueva procedente de la Plataforma Nacional de Transparencia" mediante la contratación  de un proveedor externo de servicios de configuración, implementación y puesta a punto de las licencias de Inteligencia de Negocios y descubrimiento de información de Oracle adquiridas por el Instituto en 2015, queda sin efectos meta original.</t>
  </si>
  <si>
    <t>Se tiene un 100% de cumplimiento de la meta anual, que puede ser comprobado con 30 carpetas con 490 extracciones de las bases de datos institucionales que insuman las estadísticas semanales y el análisis de temas de interés público, ya que la publicación proactiva de información estadística coyuntural pudo llevarse a cabo, en tiempo y forma, a pesar de los sismos de septiembre, conforme a la programación planteada, aplicando acciones remediales para recuperar los días en que se suspendieron las labores en las instalaciones del INAI</t>
  </si>
  <si>
    <t>Se atendió oportunamente la demanda de reportes estadísticos y temáticos derivados de eventos relevantes para la opinión pública.</t>
  </si>
  <si>
    <t>Se modificó la meta programada anual de 95% a 100%. Toda vez que, por motivos de austeridad presupuestal, ya no se ejecutará la "Verificación de las condiciones de operación de las Unidades de Transparencia de los Sujetos Obligados del ámbito federal mediante la técnica de usuario simulado" mediante visitas por parte de un proveedor externo de las Unidades de Transparencia de los sujetos obligados directos del ámbito federal, aplicando la técnica de Usuario Simulado, queda sin efectos la meta original de lograr cobertura 95%, modificándose al diseño de la metodología e instrumento de medición que se aplicará en 2018.</t>
  </si>
  <si>
    <t>Eliminación. Se cancela indicador mediante oficio INAI/SAI-DGE/507/17. Toda vez que, la migración de los sistemas Infomex no se concentrará hasta finales de 2018, ya no se ejecutará el "Ajuste a los Sistemas Oracle Business Intelligence  y Oracle Endeca Information  para integrar la información de Infomex, POT y Hcom con la nueva procedente de la Plataforma Nacional de Transparencia" mediante la contratación  de un proveedor externo de servicios de configuración, implementación y puesta a punto de las licencias de Inteligencia de Negocios y descubrimiento de información de Oracle adquiridas por el Instituto en 2015, queda sin efectos meta original.</t>
  </si>
  <si>
    <t>La asimetría se refleja en calidades de información ofrecida a las personas en el SIPOT  dispar. Por tal motivo, se formulará la recomendación a las Direcciones Generales de Enlace que tengan la mayor dispersión de resultados, a fin de que desplieguen políticas de acompañamiento institucional focalizados para disminuir la dispersión de resultados en futuros ejercicios.</t>
  </si>
  <si>
    <t>Se implementaron programas piloto en las dimensiones "Calidad en las Respuestas" y "Unidades de Transparencia" por lo que sus datos son un promedio de 20 sujetos obligados que pudieron generar un sesgo positivo natural de los resultados de las dimensiones en comento.</t>
  </si>
  <si>
    <t xml:space="preserve">Al contarse con una primera aproximación del desempeño de los SO, el INAI cuando ya con un punto de partida para el despliegue de políticas focalizadas que en lo sucesivo, brindará a los sujetos obligados. </t>
  </si>
  <si>
    <t xml:space="preserve">Se constató la viabilidad de estas herramientas para ser usadas en las verificaciones que realizará el INAI en esta materia. </t>
  </si>
  <si>
    <t>La demanda de información estadística para la toma de decisiones fue atendida con oportunidad, estableciéndose mecanismos de atención expedita.</t>
  </si>
  <si>
    <t>E001 -  Garantizar el óptimo cumplimiento de los derechos de acceso a la información pública y la protección de datos personales.</t>
  </si>
  <si>
    <t>340 - Dirección General de Enlace con Autoridades Laborales, Sindicatos, Universidades, Personas Físicas y Morales</t>
  </si>
  <si>
    <t>Secretaría de Acceso a la Información</t>
  </si>
  <si>
    <t xml:space="preserve">Indicador Compuesto del Cumplimiento de Obligaciones de Transparencia (ICCOT) </t>
  </si>
  <si>
    <t xml:space="preserve">Contribuir a garantizar el óptimo cumplimiento de los derechos de acceso a la información pública y la protección de datos personales mediante la observancia de las disposiciones establecidas en el marco normativo por parte de las autoridades laborales, los sindicatos, instituciones de educación superior autónomas, las personas físicas y morales. </t>
  </si>
  <si>
    <t>ICCOT = αIGCPT + βIGCR + γIGDUT + δIGCAP</t>
  </si>
  <si>
    <t xml:space="preserve">Porcentaje de  sujetos obligados que cumplen con las obligaciones de transparencia de conformidad con la normatividad aplicable. </t>
  </si>
  <si>
    <t>Las autoridades laborales, los sindicatos, instituciones de educación superior autónomas, las personas físicas y morales cumplen con las disposiciones establecidas en el marco normativo de transparencia y acceso a la información.</t>
  </si>
  <si>
    <t>(Sujetos obligados que cumplen con la normatividad en materia de transparencia/  población total de sujetos obligados)* 100</t>
  </si>
  <si>
    <t>Porcentaje de sujetos obligados beneficiados por el Programa de Acompañamiento.</t>
  </si>
  <si>
    <t>Programa de Acompañamiento a los sujetos obligados .</t>
  </si>
  <si>
    <t>(Sujetos obligados beneficiados por el programa de acompañamiento/ total de sujetos obligados) *100</t>
  </si>
  <si>
    <t xml:space="preserve">Promedio de sujetos obligados que cumplen con las obligaciones de transparencia. </t>
  </si>
  <si>
    <t>Programa de Seguimiento de cumplimiento.</t>
  </si>
  <si>
    <t xml:space="preserve">(Sujetos obligados que cumplen con las obligaciones de transparencia / total de sujetos obligados que atiende esta dirección) </t>
  </si>
  <si>
    <t>Porcentaje de sujetos obligados asistentes (Sindicatos y Autoridades Laborales)</t>
  </si>
  <si>
    <t>Realización de jornadas de acompañamiento</t>
  </si>
  <si>
    <t>(número de asistentes / número de sujetos obligados convocados  ) * 100</t>
  </si>
  <si>
    <t>Porcentaje de sujetos obligados asistentes (Personas Físicas y Morales)</t>
  </si>
  <si>
    <t>Sin Avance</t>
  </si>
  <si>
    <t>Porcentaje de sujetos obligados asistentes (Universidades)</t>
  </si>
  <si>
    <t>Promedio de la calidad de asesorías impartidas a los sujetos obligados</t>
  </si>
  <si>
    <t xml:space="preserve">Impartición de asesorías especializadas para los distintos Sujetos Obligados (SO) </t>
  </si>
  <si>
    <t>Suma de calificaciones otorgadas por sujeto obligado/ Sujetos obligados calificadores</t>
  </si>
  <si>
    <t>Gestión-Calidad-Trimestral</t>
  </si>
  <si>
    <t>Porcentaje de entrega de materiales de apoyo a los miembros de las Unidades y Comités de Transparencia</t>
  </si>
  <si>
    <t>Elaboración y distribución de materiales de apoyo para la impartición de asesoría especializadas</t>
  </si>
  <si>
    <t>(Número de sujetos obligados que reciben materiales de apoyo/ Total de sujetos obligados correspondientes)*100</t>
  </si>
  <si>
    <t>Porcentaje de sujetos obligados que suscriben convenios</t>
  </si>
  <si>
    <t>Suscripción de convenios de colaboración</t>
  </si>
  <si>
    <t>(Número de convenios suscritos / Número de convenios programados)* 100</t>
  </si>
  <si>
    <t>Porcentaje de atención a consultas normativas</t>
  </si>
  <si>
    <t>Atención a consultas normativas</t>
  </si>
  <si>
    <t>(Número de consultas normativas atendidas/ Número de consultas normativas presentadas por los sujetos obligados)*100</t>
  </si>
  <si>
    <t>Porcentaje de atención a incidencias y  consultas técnicas</t>
  </si>
  <si>
    <t xml:space="preserve"> Atención a reportes y consultas de incidencias técnicas</t>
  </si>
  <si>
    <t>(Incidencias técnicas atendidas/Incidencias técnicas presentadas)*100</t>
  </si>
  <si>
    <t>Porcentaje de autoridades laborales, sindicatos, instituciones de educación superior autónomas, personas físicas y morales sensibilizados en materia de Políticas de Acceso, Gobierno Abierto y Transparencia Proactiva.</t>
  </si>
  <si>
    <t xml:space="preserve">Cumplimiento de los programas de trabajo de Políticas de Acceso, Gobierno Abierto y Transparencia Proactiva concertados con las áreas técnicas correspondientes del INAI y con  las autoridades laborales, sindicatos, instituciones de educación superior autónomas, personas físicas y morales. </t>
  </si>
  <si>
    <t>((SOA= Número de autoridades laborales, sindicatos, instituciones de educación superior autónomas, personas físicas y morales en los que se realizaron acciones de promoción y sensibilización establecidas en el programa de trabajo de Políticas de Acceso+ SOGAT= Número de  autoridades laborales, sindicatos, instituciones de educación superior autónomas, personas físicas y morales, en los que se realizaron acciones de promoción y sensibilización establecidas en el programa de trabajo de las políticas de Gobierno Abierto y Transparencia Proactiva)/(SOT=Número de   autoridades laborales, sindicatos, instituciones de educación superior autónomas, personas físicas y morales, en los que se programó la realización de acciones de promoción y sensibilización en los programas de trabajo de las políticas de acceso, gobierno abierto y transparencia proactiva))* 100</t>
  </si>
  <si>
    <t>Porcentaje de capacitaciones especializadas impartidas</t>
  </si>
  <si>
    <t xml:space="preserve">Colaboración en la capacitación especializada para  las autoridades laborales, sindicatos, instituciones de educación superior autónomas, personas físicas y morales.  </t>
  </si>
  <si>
    <t>(Capacitaciones especializadas impartidas/Capacitaciones especializadas solicitadas por la Dirección General de Capacitación)*100</t>
  </si>
  <si>
    <t>Porcentaje de sujetos obligados revisados que cargaron la información correspondiente en la Plataforma Nacional de Transparencia.</t>
  </si>
  <si>
    <t>Revisión de la carga de la información  en la Plataforma Nacional de Transparencia.</t>
  </si>
  <si>
    <t>(x / X) * 100</t>
  </si>
  <si>
    <t xml:space="preserve">Porcentaje de acciones de verificación sobre la calidad de las respuestas a solicitudes de información de las autoridades laborales, sindicatos, instituciones de educación superior autónomas, personas físicas y morales.  </t>
  </si>
  <si>
    <t>Verificación de la calidad de la respuesta a las solicitudes de información por parte de los sujetos obligados correspondientes</t>
  </si>
  <si>
    <t>(RSIR= Número de Respuestas a Solicitudes de Información por parte de las autoridades laborales, sindicatos, instituciones de educación superior autónomas, personas físicas y morales Revisadas / RSIP= Total de Respuestas  a Solicitudes de Información Programadas para Revisarse conforme a la Muestra elaborada por la Dirección General de Evaluación) X 100</t>
  </si>
  <si>
    <t>Porcentaje de  requerimientos atendidos por  las autoridades laborales, sindicatos, instituciones de educación superior públicas, personas físicas y morales</t>
  </si>
  <si>
    <t>Requerimientos a las autoridades laborales, sindicatos, instituciones de educación superior autónomas, personas físicas y morales  para asegurar el cumplimiento de la  Ley General de Transparencia y Acceso a la Información Pública,  la  Ley Federal de Transparencia y Acceso a la Información Pública y demás normativa aplicable</t>
  </si>
  <si>
    <t>(Número de requerimientos atendidos/Número de requerimientos enviados)*100</t>
  </si>
  <si>
    <t>En cuanto al cumplimiento del propósito. De un total de 148 sujetos obligados que formaban parte del padrón de SO a inicios del año 2017, 112 cumplieron con carga de información.</t>
  </si>
  <si>
    <t>La meta fue superada, se logro un cumplimiento mayo por parte de los  sujetos obligados.</t>
  </si>
  <si>
    <t>Atendiendo a las características de los sujetos obligados y su reciente incorporación al padrón del ámbito federal, así como que fue la primera ocasión en que se realizaba una verificación a los SO competencia de esta Dirección General, se estimó una meta menor de carga. Sin embargo, debido a la colaboración de los Sindicatos, Autoridades Laborales y Universidades, así como, a las asesorías y jornadas de acompañamiento, la carga realizada fue mayor.</t>
  </si>
  <si>
    <t>Se brindo acompañamiento a la totalidad de los sujetos obligados en las distintas modalidades del programa de acompañamiento, entre las que se encuentran: atención de consultas técnicas y normativas, asesorías personalizadas o grupales, entrega de material informativo, eventos dirigidos a los sujetos obligados e incluso convenios suscritos y el seguimiento de los mismos.</t>
  </si>
  <si>
    <t>La meta fue alcanzada</t>
  </si>
  <si>
    <t>Se realizaron todas las actividades programadas para acompañamiento y la totalidad de los sujetos obligados fueron atendidos.</t>
  </si>
  <si>
    <t>La planeación se realizó para la atención de 148 sujetos obligados existentes en el padrón  al inicio de 2017;  derivado de la actualización a la fecha se atienden a 161 sujetos obligados y aun cuando a los nuevos se les a otorgado la respectiva atención, no se toman como base para el cálculo de los indicadores. Las actividades a tomar en cuenta para este componente son: carga de información al SIPOT y atención de requerimientos a los sujetos obligados. Toda vez que la actividad 2.2 no se realizó.
Un total 112 sujetos obligados cumplieron sus obligaciones y atendieron los requerimientos al momento de realizarse la verificación diagnóstica.</t>
  </si>
  <si>
    <t>La meta fue superada, se logro un cumplimiento mayor por parte de los  sujetos obligados.</t>
  </si>
  <si>
    <t>Se esperaba contar con la asistencia de 200 personas, asistieron 174.</t>
  </si>
  <si>
    <t>La meta fue superada, se  logro una mayor difusión  sobre los temas de acceso a la información y protección de datos personales en materia en las relaciones laborales, dentro de los integrantes de nuestros sujetos obligados</t>
  </si>
  <si>
    <t>Se calculó la asistencia de 200 personas, aún cuando se esperaba la asistencia de por lo menos el 85%, es decir, de 170 personas- La asistencia real fue de 176, 6 más de las estimadas.</t>
  </si>
  <si>
    <t>En virtud de que el Padrón de Personas Físicas y Morales se aprobó en el último pleno del año 2017, no fue posible realizar el evento programado</t>
  </si>
  <si>
    <t>Derivado del fenómeno natural del 19 de septiembre de 2017 (sismo) las actividades masivas fueron suspendidas.</t>
  </si>
  <si>
    <t>Se esperaba contar con la asistencia de 150 personas, asistieron 110 personas.</t>
  </si>
  <si>
    <t>No se alcanzó la meta programada.</t>
  </si>
  <si>
    <t>Se calculó la asistencia de 150 personas, aún cuando se esperaba la asistencia de por lo menos el 85%, es decir, de 127 personas- La asistencia real fue de 110, 17 menos de las estimadas.</t>
  </si>
  <si>
    <t>De un total de 286 asesorías impartidas, el promedio final de evaluación de calidad de la asesoría fue de 9.82</t>
  </si>
  <si>
    <t>La meta fue superada, se logro la atención de cada una de las dudas e inquietudes de los sujetos obligados.</t>
  </si>
  <si>
    <t>Se imprimió y entregó a todos los sujetos obligados el Instructivo denominado "Procedimiento para la atención de solicitudes de acceso a la información"
Durante el cuarto trimestre se imprimieron 5000 ejemplares del siguiente material:
Marco Normativo de protección de datos personales en posesión de los particulares. 
Estudio sobre los Alcances del Derecho de Acceso a la Información en Universidades e Instituciones de Educación Superior Públicas Dotadas de Autonomía, Derivadas de la Reforma Constitucional en Materia de Transparencia. 
El ABC del aviso de privacidad. 
Guía para cumplir con la Ley Federal de Protección de Datos Personales en posesión de los Particulares. 
Transparencia y Acceso a la Información en Personas Físicas y Morales. Alcances de la reforma Constitucional y Legal.
El calculo realizado al 50% atendía a que la impresión de que los últimos materiales aun cuando se realizaría en 2017 se entregará en el primer trimestre de 2018</t>
  </si>
  <si>
    <t>La meta fue superada,  se logro la totalidad de entrega de mariales que parte a los sujetos obligados cumplir con sus obligaciones en las materias competencia de este Instituto</t>
  </si>
  <si>
    <t>Se suscribieron los Convenios Generales de Colaboración con la UNAM y el SNTSS.
Se suspendieron los convenios con la STPS y el SNTSTPS derivado a los cambios del gabinete en diciembre. Derivado del sismo del 19 de septiembre se suspendió el convenio de colaboración con el SINADETTA.
El convenio con la UAM fue aprobado por el pleno a finales de diciembre, por lo que esta pendiente la definición de la fecha de suscripción.</t>
  </si>
  <si>
    <t>No se pudo alcanzar la meta derivado de diversos factores naturales y políticos. (Sismo del 19 de septiembre y cambio en el gabinete de gobierno).</t>
  </si>
  <si>
    <t xml:space="preserve">De un total de 22 consultas normativas presentadas, 20 de ellas fueron atendidas, las 2 faltantes fueron turnadas a las áreas correspondientes.
20 consultas atendidas / 22 consultas recibidas * 100
Es importante mencionar que las metas alcanzadas en los trimestres 2, 3 Y 4 fueron calculadas de manera acumulada,  razón por la que se expresa un total de 22 consultas recibidas </t>
  </si>
  <si>
    <t xml:space="preserve">La meta fue alcanzada, se logro atender la totalidad de las consultas remitidas por los sujetos obligados  </t>
  </si>
  <si>
    <t>Durante el 2017 se presentaron 113 incidencias técnicas mismas que fueron atendidas en su totalidad. Durante el primer trimestre se recibieron 52 consultas técnicas de las cuales 10 no fueron atendidas en dicho periodo, no obstante éstas se acumularon y atendieron junto con las 31 recibidas en el segundo trimestre. Finalmente, para  el tercer trimestre se recibieron 30 incidencias las cuales fueron atendidas en su totalidad.</t>
  </si>
  <si>
    <t xml:space="preserve">La meta fue alcanzada, </t>
  </si>
  <si>
    <t>El método de cálculo realizado, desde el primer trimestre fue considerado de manera acumulada, por lo que se consideró el total de consultas recibidas y atendidas durante el año.</t>
  </si>
  <si>
    <t>Durante el segundo semestre se realizaron las siguientes reuniones:
"Comisiones Abiertas y Transparencia",  asistentes Universidades y Autoridades Laborales. Se convocó a 9 sujetos obligados de los cuales asistieron 7.
"Taller de Gobierno Abierto y Transparencia Proactiva", dirigido a Autoridades Laborales. Asistieron los 5 convocados.</t>
  </si>
  <si>
    <t>La meta fue alcanzada.</t>
  </si>
  <si>
    <t>La Dirección General de Capacitación no solicitó a esta unidad administrativa ninguna capacitación especializada durante el año 2017</t>
  </si>
  <si>
    <t>Sin avance, este resultado no afectó en gran medida, en tanto que esta Dirección impartió asesorías especializadas a los sujetos obligados de competencia de esta UA.</t>
  </si>
  <si>
    <t>De 148 obligados a los cuales se les realizó la verificación diagnóstica, 112 cargaron información en la Plataforma Nacional de Transparencia, 36 de ellos fueron omisos.</t>
  </si>
  <si>
    <t>La meta fue superada,  se logro un cumplimiento mayo por parte de los  sujetos obligados.</t>
  </si>
  <si>
    <t>Atendiendo a las características de los sujetos obligados y su reciente incorporación al padrón del ámbito federal, así como que fue la primera ocasión en que se realizaba una verificación a los SO competencia de esta Dirección General, se estimó una meta menor de carga. Sin embargo, debido a la colaboración de los Sindicatos, Autoridades Laborales y Universidades, así como a las asesorías y jornadas de acompañamiento la carga realizada por estos fue mayor.</t>
  </si>
  <si>
    <t>Para verificar la calidad de las respuestas, el Instituto realizó una prueba piloto considerando 20 sujetos obligados para identificar las eventuales áreas de oportunidad de los instrumentos que serán utilizados en lo sucesivo en esta dimensión. Para el caso de esta Dirección General de Enlace le correspondió verificar cuatro sujetos obligados de los veinte mencionados, lo que se tradujo en la revisión de 80 solicitudes de información de las 400 muestreadas.</t>
  </si>
  <si>
    <t>Se han realizado 626 requerimientos a los SO que atiende este DG, entre los que se encuentran los siguientes: 
Verificación diagnostica, Actualización del Índice de Expedientes Reservados, Información de Interés Público y Transparencia Proactiva, de los cuales 230 han sido atendidos por los SO.
Es importante mencionar que la meta alcanzada en los trimestres 1 y 3 fue calculada de manera acumulada, razón por la que se expresa un total de 626 requerimientos.</t>
  </si>
  <si>
    <t>De 162 sujetos obligados competencia de esta Dirección, 152 son sindicatos; en términos generales cumplen con sus obligaciones de transparencia, no obstante, en ocasiones, son omisos para atender los requerimientos realizados por esta Dirección General.
El método de cálculo realizado, desde el primer trimestre, fue considerado de manera acumulada, por lo que se consideró el total de requerimientos realizados y atendidas durante el año.</t>
  </si>
  <si>
    <t>No se ajustaron las metas de los indicadores establecidos</t>
  </si>
  <si>
    <t>380- Dirección General de Enlace con la Administración Pública Centralizada y Tribunales Administrativos</t>
  </si>
  <si>
    <t>Contribuir a garantizar el óptimo cumplimiento de los derechos a la información pública y la protección de datos personales en posesión de los sujetos obligados, así como la transparencia y apertura de las instituciones públicas mediante el cumplimiento de las disposiciones establecidas en el marco normativo de transparencia y acceso a la información por parte de la Administración Pública Centralizada</t>
  </si>
  <si>
    <t xml:space="preserve">Porcentaje de cumplimiento de obligaciones de transparencia y acceso a la información por parte los sujetos obligados de la Administración Pública Centralizada </t>
  </si>
  <si>
    <t>La sujetos obligados de la Administración Pública Centralizada cumplen con las disposiciones establecidas en el marco normativo de transparencia y acceso a la información</t>
  </si>
  <si>
    <t>COTAI= FCAAPC (Número de fracciones de la normatividad en la materia relacionadas con las obligaciones de transparencia y acceso a la información cumplidas y actualizadas por los Sujetos Obligados de la Administración Pública Centralizada) / TFTAI (Número de fracciones en materia con las obligaciones de transparencia y acceso a la información  que se deben cumplir y actualizar conforme a la normatividad en la materia) X 100</t>
  </si>
  <si>
    <t>índice Global de Acompañamiento  a  los Sujetos Obligados correspondientes de la DGAPC (IGASO)</t>
  </si>
  <si>
    <t>Política de acompañamiento en materia de transparencia y acceso a la información a los Sujetos Obligados correspondientes  de la DGAPC implementada</t>
  </si>
  <si>
    <t>IGASO= IGDUT(Índice Global de Desempeño de las Unidades de Transparencia) X 0.5 + IGCAP (Índice Global de Capacitación de los Sujetos Obligados) X 0.5</t>
  </si>
  <si>
    <t>Índice Global de Seguimiento  a  los Sujetos Obligados correspondientes de la DGAPC (IGSSO)</t>
  </si>
  <si>
    <t xml:space="preserve">Política de seguimiento en materia de transparencia y acceso a la información  de los Sujetos Obligados correspondientes a la DGAPC implementada  </t>
  </si>
  <si>
    <t>IGSSO= IGCPI (Índice Global de Cumplimiento en los Portales de Transparencia) X 0.5 + IGCR ( Índice Global de Calidad de las Respuestas Otorgadas a las Solicitudes de Acceso a la Información) X 0.5</t>
  </si>
  <si>
    <t>Porcentaje de convenios generales y específicos firmados</t>
  </si>
  <si>
    <t>Promoción de firma de convenios de colaboración.</t>
  </si>
  <si>
    <t>(Número de convenios firmados entre los sujetos obligados de la Administración Pública Centralizada y el INAI)/((Número de convenios concertados entre los sujetos obligados de la Administración Pública Centralizada y el INAI) X100</t>
  </si>
  <si>
    <t>Porcentaje de asistencia de los servidores públicos y particulares invitados a eventos y actividades que promueven políticas orientadas a la transparencia organizacional</t>
  </si>
  <si>
    <t>Promoción de actividades para el desarrollo de capacidades y conocimientos sobre transparencia y acceso a la información</t>
  </si>
  <si>
    <t>(Número de servidores públicos y particulares asistentes) / (Número de servidores públicos y particulares invitados) X 100</t>
  </si>
  <si>
    <t>Impartición de capacitación especializada para los sujetos obligados correspondientes a la DGAPC</t>
  </si>
  <si>
    <t>CEID= (Capacitaciones especializadas impartidas/CESD= Capacitaciones especializadas solicitadas por la Dirección General de Capacitación)*100</t>
  </si>
  <si>
    <t>Porcentaje de sujetos obligados correspondientes  de la DGAPC  sensibilizados en materia de Políticas de Acceso, Gobierno Abierto y Transparencia Proactiva.</t>
  </si>
  <si>
    <t xml:space="preserve">Cumplimiento de los programas de trabajo de Políticas de Acceso, Gobierno Abierto y Transparencia Proactiva concertados con las áreas técnicas correspondientes del INAI y con los sujetos obligados correspondientes de la DGAPC </t>
  </si>
  <si>
    <t>(SOA= Número de sujetos obligados  correspondientes  de la DGAPC en los que se realizaron acciones de promoción y sensibilización establecidas en el programa de trabajo de Políticas de Acceso+ SOGAT= Número de sujetos obligados  correspondientes  de la DGAPC en los que se realizaron acciones de promoción y sensibilización establecidas en el programa de trabajo de las políticas de Gobierno Abierto y Transparencia Proactiva)/(SOT=Número de sujetos obligados  correspondientes  de la DGAPC en los que se programó la realización de acciones de promoción y sensibilización en los programas de trabajo de las políticas de acceso a la información, gobierno abierto y transparencia proactiva))* 100</t>
  </si>
  <si>
    <t>Porcentaje de asesoría  y levantamiento de información sobre los sujetos obligados de la Administración Pública Centralizada en relación a la implementación de acciones para el cumplimiento de las obligaciones en el marco de la normatividad  de transparencia y acceso a la información.</t>
  </si>
  <si>
    <t>Asesoría y levantamiento de información sobre el cumplimiento de los sujetos obligados de la Administración Pública Centralizada</t>
  </si>
  <si>
    <t>(Número de sujetos obligados de la Administración Pública Centralizada que proporcionan información y que son asistidos sobre la implementación de actividades para el cumplimiento de sus obligaciones en el marco de la normatividad de transparencia y acceso a la información/ Número total de sujetos obligados de la Administración Pública Centralizada) X 100</t>
  </si>
  <si>
    <t>Porcentaje de acciones de verificación sobre la calidad de las respuestas a solicitudes de información de los sujetos obligados correspondientes a la DGAPC</t>
  </si>
  <si>
    <t>Verificación de la calidad de la respuesta a las solicitudes de información por parte de los sujetos obligados correspondientes a la DGAPC</t>
  </si>
  <si>
    <t>(RSIR= Número de Respuestas a Solicitudes de Información por parte de los "Sujetos Obligados Correspondientes" Revisadas / RSIP= Total de Respuestas  a Solicitudes de Información Programadas para Revisarse conforme a la Muestra elaborada por la Dirección General de Evaluación) X 100</t>
  </si>
  <si>
    <t>Porcentaje de sujetos obligados de la Administración Pública Centralizada revisados que subieron la información de  las obligaciones que derivan del Título Quinto de la LGTAIP en la Plataforma Nacional de Transparencia en tiempo y forma.</t>
  </si>
  <si>
    <t>Revisión de  la carga de la información prescrita en el Título Quinto de la Ley General de Transparencia y Acceso a la Información Pública por parte de los sujetos obligados de la Administración Pública Centralizada en la Plataforma Nacional de Transparencia.</t>
  </si>
  <si>
    <t>(Número de sujetos obligados de la Administración Pública Centralizada revisados que subieron la totalidad de la información que les corresponde a la Plataforma Nacional de Transparencia / Número total de sujetos obligados de la Administración Pública Centralizada) * 100</t>
  </si>
  <si>
    <t>El porcentaje de cumplimiento de las obligaciones de transparencia medibles para 2017 son las establecidas en la Ley General de Transparencia y Acceso a la Información Pública. Los sujetos obligados a cargo de la DGEAPCTA obtuvieron en promedio un 62% de cumplimiento que equivaldría a 36 fracciones cumplidas de las 58 que le corresponden a nuestros Sujetos Obligados.</t>
  </si>
  <si>
    <t xml:space="preserve">Los sujetos obligados conocen las áreas de oportunidad que tienen que cubrir para cumplir con la totalidad de sus obligaciones de transparencia </t>
  </si>
  <si>
    <t>Se realizaron las tres capacitaciones especializadas, dos en materia de "Clasificación de Información" y una en materia de  "Prueba de Daño", así como la cobertura y levantamiento de información a nuestros 52 sujetos obligados de los  59 Coordinadores de Sector.
Se ha detectado un error de dedo en la formulación del método de cálculo de este indicador, con la finalidad de que el reporte del avance sea el correcto, se adecua</t>
  </si>
  <si>
    <t>Se cumplió con la totalidad de las acciones de capacitación solicitadas, así como las actividades de levantamiento de información por lo que se tuvo conocimiento constante del estado en el que los sujetos obligados cumplieron con sus obligaciones de transparencia.</t>
  </si>
  <si>
    <t>La variación en la meta alcanzada se debió a que fueron 214 Sujetos Obligados de la Administración Pública Centralizada, quienes cargaron información en el Sistema de Portales de Obligaciones de Transparencia (SIPOT) de un total de 235 que tenemos a nuestro cargo y de la revisión de la calidad de respuestas de las solicitudes de acceso a la información, solo fue a un grupo muestra de ocho sujetos obligados de nuestra DGEAPCTA que se tradujo en la revisión de 160 solicitudes de información.
Se ha detectado un error de dedo en la formulación del método de cálculo de este indicador, con la finalidad de que el reporte del avance sea el correcto, se adecua</t>
  </si>
  <si>
    <t>Se superó la meta programada marginalmente en un 1% cuyo impacto es positivo ya que se logró dar un mejor seguimiento a los sujetos obligados a cargo de DGEAPCTA.</t>
  </si>
  <si>
    <t>El pasado 06 de septiembre del año en curso, se realizó una firma con la Fiscalía Especializada para la Atención de Delitos Electorales (FEPADE) para un Programa Conjunto de Trabajo.</t>
  </si>
  <si>
    <t>Se firmó el único convenio concertado con la FEPADE perteneciente a la Procuraduría General de la República. En particular la DGEAPCTA mantiene un convenio marco de colaboración con la SFP Desde 2015 con el cual se instrumentan acciones de coordinación para lograr una cobertura en la totalidad de los sujetos obligados de la Administración Pública Federal.</t>
  </si>
  <si>
    <t>La variación en el resultado del indicador se debe a que la participación a los 5 eventos organizados por esta Dirección General de Enlace con la Administración Pública Centralizada y Tribunales Administrativos. Se programó una asistencia del 80% a dichos eventos, no obstante la asistencia fue mayor al participar 261 de 315 contemplados.</t>
  </si>
  <si>
    <t>Se mejoró la participación de los servidores públicos de las Unidades de Transparencia de los sujetos obligados a cargo de la DGEAPCTA.</t>
  </si>
  <si>
    <t>Se  solicitó por parte de la Dirección General de Capacitación la impartición de tres cursos de capacitación, dos en materia de "Clasificación de Información" y uno mas en materia de "Prueba de Daño", mismas que fueron impartidas al personal integrante de los diversos Sujetos Obligados.</t>
  </si>
  <si>
    <t>Se calculó tener una cobertura de al menos 90% de capacitaciones impartidas en relación con las solicitadas, no obstante se impartieron las tres solicitadas, por lo que se colaboró de mejor forma con la Dirección General de Capacitación.</t>
  </si>
  <si>
    <t xml:space="preserve">La variación del 25% que se ve reflejado en el resultado del indicador, se debe a que se realizó un programa con la Secretaría de la Función Pública para las acciones de trabajo sobre Políticas de Acceso y un programa para las acciones sobre Gobierno Abierto. Lo anterior en razón de que ellos serán el medio a través del cual se difundan y coordinen las acciones de trabajo sobre Políticas de Acceso y Gobierno Abierto con los Sujetos Obligados de la Administración Pública Centralizada. </t>
  </si>
  <si>
    <t>Se realizó una cobertura más amplia de la esperada al trabajar con la Secretaría de la Función Pública como  representante de la Administración Pública Centralizada</t>
  </si>
  <si>
    <t xml:space="preserve">Se atendieron las consultas técnicas y normativas, así como las asesorías solicitadas por parte de 52 Sujetos Obligados Coordinadores de Sector, de los 59 que tenemos a nuestro cargo, de ahí la variación en el resultado del indicador. No obstante en cuanto al levantamiento de información, se solicitó y recibió información por parte de la totalidad de los Sujetos Obligados de la DGEAPCTA. </t>
  </si>
  <si>
    <t>Hubo un total de 7 Unidades de Transparencia de un total de 59 a cargo de la DGEAPCTA, las cuales no presentaron incidencias técnicas o normativas. Se considera que  no hay efecto negativo ya que pudieron cumplir con las diversas obligaciones de transparencia y acceso a la información sin la ayuda del personal de la DGEAPCTA. En cuanto al levantamiento de información se logró obtener de cada una de las Unidades de Transparencia la información necesaria que permitió a la DGEAPCTA monitorear y dar seguimiento puntual a sus sujetos obligados.</t>
  </si>
  <si>
    <t>Para verificar la calidad de las respuestas, el Instituto realizó una prueba piloto considerando 20 sujetos obligados para identificar las eventuales áreas de oportunidad de los instrumentos que será utilizados en lo sucesivo en esta dimensión. Para el caso de esta Dirección General de Enlace le correspondió verificar a ocho sujetos obligados de los veinte mencionados, lo que se tradujo en la revisión de 160 solicitudes de información de las 400 muestreadas</t>
  </si>
  <si>
    <t>Se detectaron áreas de oportunidad mediante la verificación de la calidad de las respuestas a la solicitudes de acceso a la información de los sujetos obligados de la DGEAPCTA, lo que permitirá perfilar acciones de acompañamiento para mejorar la atención a dichas solicitudes por parte de los sujetos obligados.</t>
  </si>
  <si>
    <t xml:space="preserve">La variación reflejada en el indicador se debe a que fueron 214 Sujetos Obligados de la Administración Pública Centralizada, quienes cargaron información en el Sistema de Portales de Obligaciones de Transparencia (SIPOT) de un total de 235 que tenemos a nuestro cargo, por lo que fueron 21 Sujetos Obligados los que no cumplieron con esta obligación de transparencia. </t>
  </si>
  <si>
    <t>Se identificaron los sujetos obligados que no cumplieron con la publicación de información para reforzar el acompañamiento para las próximas verificaciones.</t>
  </si>
  <si>
    <t>Se realiza el ajuste a la meta anual debido a que al momento de capturar la meta anual programada en el reporte del primer trimestre la DGPDI por error involuntario colocó el valor de .45, por lo que para el reporte de este periodo se corrige regresando al valor original de la meta anual.</t>
  </si>
  <si>
    <t>Se realiza el ajuste a la meta anual debido a que al momento de capturar la meta anual ajustada en el reporte del primer trimestre la DGPDI por error involuntario colocó el valor de .08, por lo que para el reporte de este periodo se corrige regresando al valor original de la meta anual.</t>
  </si>
  <si>
    <t>360 - Dirección General de Enlace con Organismos Públicos Autónomos, Empresas Paraestatales, Entidades Financieras, Fondos y Fideicomisos</t>
  </si>
  <si>
    <t>Contribuir a garantizar el óptimo cumplimiento de los derechos a la información pública y la protección de datos personales</t>
  </si>
  <si>
    <t>Indicador Compuesto del Cumplimiento de Obligaciones de Transparencia (ICCOT) respecto de los sujetos obligados correspondientes</t>
  </si>
  <si>
    <t xml:space="preserve">Los organismos públicos autónomos,  entidades financieras, fondos, fideicomisos, empresas productivas del estado, empresas subsidiarias, empresas paraestatales, dependencias y entidades del sector energético del ámbito federal, cumplen con las disposiciones establecidas en la Ley General de Transparencia y Acceso a la Información Pública y en la Ley Federal de Transparencia y Acceso a la Información Pública </t>
  </si>
  <si>
    <t>ICCOT DGOAEEF = αIGCPT + βIGCR + γIGDUT</t>
  </si>
  <si>
    <t>Promedio de cumplimiento de los "Sujetos Obligados Correspondientes" respecto a la  actualización de información de obligaciones de transparencia comunes y específicas en  la Plataforma Nacional de Transparencia</t>
  </si>
  <si>
    <t>Programa de Seguimiento a los "Sujetos Obligados Correspondientes" realizado</t>
  </si>
  <si>
    <t xml:space="preserve">(∑ X1. X2 …Xn / NSOC )
Este promedio se obtiene sumando todas las X que corresponden al número de obligaciones de transparencia comunes y específicas, el resultado se divide entre el número de "Sujetos Obligados Correspondientes" que conforme a la normatividad están obligados a actualizar su información en la Plataforma Nacional de Transparencia </t>
  </si>
  <si>
    <t>Porcentaje de obligaciones de transparencia comunes y específicas establecidas en la normatividad vigente que los "Sujetos Obligados Correspondientes "actualizan en la Plataforma Nacional de Transparencia.</t>
  </si>
  <si>
    <t>(FAOT= Número de fracciones relacionadas con las obligaciones de transparencia comunes y específicas establecidas en la Ley General de Transparencia y Acceso a la Información Pública y en la Ley Federal de Transparencia y Acceso a la Información Pública actualizadas por los Sujetos Obligados correspondientes en la Plataforma Nacional de Transparencia / FOTV= Número total de fracciones relacionadas con las obligaciones de transparencia comunes y específicas que se deben actualizar en la Plataforma Nacional de Transparencia conforme a la  Ley General de Transparencia y Acceso a la Información Pública y en la Ley Federal de Transparencia y Acceso a la Información Pública) X 100</t>
  </si>
  <si>
    <t>Tasa de variación porcentual de las acciones de acompañamiento llevadas a cabo con los Sujetos Obligados</t>
  </si>
  <si>
    <t>Programa de Acompañamiento a los Sujetos Obligados correspondientes realizado</t>
  </si>
  <si>
    <t>((AA t= Proporción de acciones de acompañamiento realizadas con los "Sujetos Obligados Correspondientes" respecto del total de acciones de acompañamiento identificadas en el último semestre  / AA t-1= Proporción de acciones de acompañamiento realizadas con los Sujetos Obligados correspondientes respecto del total de acciones de acompañamiento identificadas en el semestre inmediato anterior) -1) X 100</t>
  </si>
  <si>
    <t>Porcentaje de "Sujetos Obligados Correspondientes" a los que se verificó que actualizaran en tiempo y forma la información de sus obligaciones que derivan del Título Quinto de la Ley General de Transparencia y Acceso a la Información Pública y del Título Tercero de la Ley Federal de Transparencia y Acceso a la Información Pública en la Plataforma Nacional de Transparencia</t>
  </si>
  <si>
    <t>Verificación del cumplimiento de la normatividad pertinente por parte de los Sujetos Obligados correspondientes</t>
  </si>
  <si>
    <t>(SOV= Número de "Sujetos Obligados Correspondientes" verificados  en la actualización de sus obligaciones en la Plataforma Nacional de Transparencia  / SOPV= Número total de "Sujetos Obligados Correspondientes" programados a verificarse) * 100</t>
  </si>
  <si>
    <t>Porcentaje de "Sujetos Obligados Correspondientes" a los que se solicitó atender un área de oportunidad para asegurar la actualización de la información correspondiente a las fracciones de obligaciones de transparencia de los artículos 70 a 83 de la Ley General de Transparencia y Acceso a la Información Pública y 68 a 74 de la Ley Federal de Transparencia y Acceso a la Información Pública</t>
  </si>
  <si>
    <t>(SRP= "Sujetos Obligados Correspondientes" a los que  mediante un comunicado oficial se les solicitó atender áreas de oportunidad en la actualización de su información relacionada con sus correspondientes obligaciones de transparencia en la Plataforma Nacional de Transparencia  / SOP = "Sujetos Obligados Correspondientes" a los que se les identificó áreas de oportunidad en la actualización de su información sobre las  obligaciones de transparencia en la Plataforma Nacional de Transparencia)x100</t>
  </si>
  <si>
    <t>Porcentaje de  "Sujetos Obligados Correspondientes" a los que mediante un comunicado oficial se les solicito atender algún área de oportunidad detectada en materia de obligaciones de transparencia distintas a las de los artículos 70 a 83 de la Ley General de Transparencia y Acceso a la Información Pública y 68 a 74 de la Ley Federal de Transparencia y Acceso a la Información Pública</t>
  </si>
  <si>
    <t>(SR=Sujetos Obligados a los que mediante comunicación oficial se les solicitó atender algún área de oportunidad detectada en materia de transparencia, para cumplir con sus obligaciones distintas  a las establecidas en los artículos 70 a 83 de la LGTAIP / SO=Sujetos obligados a los que se les identificó un área de oportunidad en las obligaciones distintas  a las establecidas en los artículos 70 a 83 de la LGTAIP)x100</t>
  </si>
  <si>
    <t xml:space="preserve">Porcentaje de acciones de verificación sobre la calidad de las respuestas a solicitudes de información de los "Sujetos Obligados Correspondientes" </t>
  </si>
  <si>
    <t>Verificación de la Calidad de la Respuesta a las Solicitudes de Información por parte de los "Sujetos Obligados Correspondientes"</t>
  </si>
  <si>
    <t>Porcentaje de reuniones, eventos, grupos de opinión y firmas de convenios llevados a cabo con  los "Sujetos Obligados Correspondientes"</t>
  </si>
  <si>
    <t xml:space="preserve">Reuniones, eventos, grupos de opinión y firmas de convenios llevados a cabo con los "Sujetos Obligados Correspondientes" </t>
  </si>
  <si>
    <t>(REG= reuniones, eventos, grupos de opinión y firmas de convenio realizados con los "Sujetos Obligados Correspondientes" / REGP = reuniones, eventos, grupos de opinión y firmas de convenio programados con los "Sujetos Obligados Correspondientes")X100</t>
  </si>
  <si>
    <t xml:space="preserve">Porcentaje de programas y políticas difundidas entre los  "Sujetos Obligados Correspondientes" </t>
  </si>
  <si>
    <t xml:space="preserve">Difusión entre los "Sujetos Obligados Correspondientes" de programas y políticas aprobadas por el Pleno del Instituto </t>
  </si>
  <si>
    <t>(PPD= Programas y políticas aprobadas por el Pleno del Instituto que son difundidas entre los Sujetos Obligados Correspondientes / PPAP= Total de Programas y políticas aprobadas por el Pleno del  Instituto que deben ser difundidas entre los "Sujetos Obligados Correspondientes")X100</t>
  </si>
  <si>
    <t>Porcentaje de consultas y asesorías atendidas</t>
  </si>
  <si>
    <t>Asesorías y consultas técnicas y normativas atendidas</t>
  </si>
  <si>
    <t>(CAR= Consultas y asesorías realizadas con los Sujetos Obligados Correspondientes /CAPS= Total de Consultas y Asesorías programadas + Consultas y asesorías solicitadas por los "Sujetos Obligados Correspondientes" )X100</t>
  </si>
  <si>
    <t>Porcentaje de los "Sujetos Obligados Correspondientes" sensibilizados en materia de Políticas de Acceso, Gobierno Abierto y Transparencia Proactiva.</t>
  </si>
  <si>
    <t xml:space="preserve"> Cumplimiento de los programas de trabajo de Políticas de Acceso, Gobierno Abierto y Transparencia Proactiva concertados con las áreas técnicas correspondientes del INAI y con los "Sujetos Obligados Correspondientes"</t>
  </si>
  <si>
    <t>((SOA= Número de "Sujetos Obligados Correspondientes" en los que se realizaron acciones de promoción y sensibilización establecidas en el programa de trabajo de Políticas de Acceso+ SOGAT= Número de "Sujetos Obligados Correspondientes" en los que se realizaron acciones de promoción y sensibilización establecidas en el programa de trabajo de las políticas de Gobierno Abierto y Transparencia Proactiva)/(SOT=Número de "Sujetos Obligados Correspondientes" en los que se programó la realización de acciones de promoción y sensibilización en los programas de trabajo de las políticas de acceso, gobierno abierto y transparencia proactiva))* 100</t>
  </si>
  <si>
    <t xml:space="preserve"> Impartición de capacitación especializada para los sujetos obligados correspondientes</t>
  </si>
  <si>
    <t>(CEID= Capacitaciones especializadas impartidas por la DGOAEEF / CESD= Capacitaciones especializadas solicitadas por la Dirección General de Capacitación)*100</t>
  </si>
  <si>
    <t>Porcentaje de acciones de acercamiento y fortalecimiento de la relación institucional entre el INAI y los Sujetos Obligados Correspondientes</t>
  </si>
  <si>
    <t xml:space="preserve"> Realización de acciones de acercamiento y fortalecimiento de la relación institucional entre el INAI y los Sujetos Obligados Correspondientes</t>
  </si>
  <si>
    <t>(AAFRIR= Número de acciones de acercamiento y fortalecimiento de la relación institucional entre el INAI y los Sujetos Obligados Correspondientes llevadas a cabo /  AAFRIP= Número de acciones de acercamiento y fortalecimiento de la relación institucional entre el INAI y los Sujetos Obligados Correspondientes programadas)X100</t>
  </si>
  <si>
    <t>Se tenía programada una meta de 45.00, la razón de haber programado esta meta se debe a que el 2017 fue el primer año que los sujetos obligados del ámbito federal debían cumplir con la actualización de las fracciones contenidas en el título quinto de la LGTAIP, además de las obligaciones de los atributos de las respuestas y del desempeño de las unidades de transparencia, por lo que la expectativa era conservadora.</t>
  </si>
  <si>
    <t>Debido a que la DGOAEEF llevó a cabo un intenso programa de acompañamiento con los sujetos obligados a efecto de que cumplieran con sus obligaciones, la meta se superó, pues el resultado final que se alcanzó en este indicador fue del  68.22 por ciento lo cual quiere decir que se superó el nivel de cumplimiento esperado.</t>
  </si>
  <si>
    <t>Se tenía programada una meta de 45 en una escala del 1 al 100. La razón de haber programado esta meta se debe a que el 2017 fue el primer año que los sujetos obligados del ámbito federal debían darle observancia a las obligaciones contenidas en el título quinto de la LGTAIP, por lo que la expectativa era conservadora.</t>
  </si>
  <si>
    <t xml:space="preserve">Debido a que la DGOAEEF llevó a cabo un intenso programa de acompañamiento con los sujetos obligados a efecto de que actualizaran el mayor número de obligaciones que les corresponden, la meta superó las expectativas, pues los sujetos obligados tuvieron un alto nivel de cumplimiento en dichas obligaciones, y tal como lo muestra el resultado anual, los sujetos obligados sobrepasaron la meta llegando a un 86.97 en su resultado, lo que quiere decir que de un total de 17,534 formatos (cada formato corresponde a una obligación de transparencia) que debían cargar o actualizar los sujetos obligados, se cargaron o actualizaron 15,250. En otras palabras, la meta esperada se superó en casi un 100 por ciento. </t>
  </si>
  <si>
    <t>Se tenía programada una meta de 45 por ciento. La razón de haber programado esta meta se debe a que el 2017 fue el primer año que los sujetos obligados del ámbito federal debían cumplir con la actualización de las fracciones contenidas en el título quinto de la LGTAIP, por lo que la expectativa era conservadora.</t>
  </si>
  <si>
    <t>Debido a que la DGOAEEF llevó a cabo un intenso programa de acompañamiento con los sujetos obligados a efecto de que  actualizaran el mayor número de fracciones que les corresponden, el número de fracciones actualizadas se superó, sobrepasándose al llegar a un 82.43 por ciento, lo que quiere decir que de un total de 7,591 fracciones que debían actualizar los sujetos obligados, se actualizaron 6,257. En otras palabras, la meta esperada se superó en más del 80 por ciento.</t>
  </si>
  <si>
    <t>En el primer semestre de 2017 se llegó a una proporción en la realización de las acciones de acompañamiento del 96 por ciento, en tanto que en el segundo semestre de 2017 se llegó a una proporción del 96 por ciento, es decir no se presentó variación en la proporción de realización de las acciones de acompañamiento.</t>
  </si>
  <si>
    <t>Debido a que la proporción de acciones de acompañamiento que llevó a cabo la DGOAEEF durante el segundo trimestre de 2017 llegó a un 96 por ciento, todos los sujetos obligados correspondientes a esta dirección general recibieron por lo menos alguna acción de acompañamiento</t>
  </si>
  <si>
    <t>La DGOAEEF tiene bajo su responsabilidad llevar a cabo acciones de acompañamiento y seguimiento con los sujetos obligados que entran en el ámbito de su competencia, al respecto, el número de sujetos obligados bajo la responsabilidad de la DGOAEEF durante la etapa en que se realizó la Verificación Diagnóstica de la carga de las obligaciones de transparencia de la LGTAIP era de 208, a los cuales se les practicó la verificación diagnóstica sobre la carga en la Plataforma Nacional de Transparencia de la información de sus obligaciones que derivan del Título Quinto de la LGTAIP.</t>
  </si>
  <si>
    <t>Todos los sujetos obligados que entran en el ámbito de responsabilidad de la DGOAEEF fueron verificados en la carga de sus obligaciones de transparencia correspondientes al título quinto de la LGTAIP, es decir,  el resultado de la meta fue del 100 por ciento de sujetos obligados verificados.</t>
  </si>
  <si>
    <t>De los 208 sujetos obligados verificados en su carga de obligaciones de transparencia durante el 2017, se detectaron áreas de oportunidad en la carga de 207.</t>
  </si>
  <si>
    <t>A los 207 sujetos obligados con áreas de oportunidad detectadas se les envió un oficio con su respectiva Memoria Técnica de Verificación en donde se les informó sobre dichas áreas de oportunidad en la carga de sus obligaciones de transparencia y se les solicitó su respectiva atención.</t>
  </si>
  <si>
    <t>La DGOAEEF no localizó áreas de oportunidad en materia de obligaciones de transparencia distintas a las de los artículos 70 a 83 de la Ley General de Transparencia y Acceso a la Información Pública y 68 a 74 de la Ley Federal de Transparencia y Acceso a la Información Pública.</t>
  </si>
  <si>
    <t>Debido a que no se detectaron áreas de oportunidad en las obligaciones de transparencia distintas a las de los artículos 70 a 83 de la Ley General de Transparencia y Acceso a la Información Pública y 68 a 74 de la Ley Federal de Transparencia y Acceso a la Información Pública, no se solicitó la atención de las mismas, por lo tanto se reporta sin avance.</t>
  </si>
  <si>
    <t xml:space="preserve">Para verificar la calidad de las respuestas, el Instituto realizó una prueba piloto considerando 20 sujetos obligados para identificar las eventuales áreas de oportunidad de los instrumentos que serán utilizados en lo sucesivo en esta dimensión. </t>
  </si>
  <si>
    <t>Para el caso de esta Dirección General de Enlace le correspondió verificar un sujeto obligado de los veinte mencionados, lo que se tradujo en la revisión de 20 solicitudes de información de las 400 muestreadas</t>
  </si>
  <si>
    <t>Se programó realizar 26 acciones durante el 2017.</t>
  </si>
  <si>
    <t>Se alcanzó la meta programada de realizar 26 acciones durante el 2017 y adicionalmente se llevaron a cabo 78 acciones más a demanda de los propios sujetos obligados.</t>
  </si>
  <si>
    <t>Durante el año 2017 se llevaron a cabo 18 acciones de difusión de políticas aprobadas por el Pleno del Instituto entre los sujetos obligados que entran en el ámbito de responsabilidad de la DGOAEEF</t>
  </si>
  <si>
    <t>Se difundieron  todas las políticas  aprobadas por el Pleno del INAI concernientes a los  sujetos obligados que entran en el ámbito de responsabilidad de la DGOAEEF</t>
  </si>
  <si>
    <t>Durante el ejercicio 2017 se atendieron 2,184 asesorías de 2,218 que se solicitaron. 
De las 2,218 solicitadas alrededor de un 70 por ciento se concentran en el tema del SIPOT</t>
  </si>
  <si>
    <t>Se presentó un elevado índice de asesorías y de atención a consultas, lo que redundó en un mejor cumplimiento de las obligaciones de transparencia por parte de los sujetos obligados.</t>
  </si>
  <si>
    <t>Se sensibilizaron a un total de 30 "Sujetos Obligados Correspondientes" en materia de Políticas de Acceso, Gobierno Abierto y Transparencia Proactiva. En esta actividad la Dirección General de Gobierno Abierto y Transparencia llevó a cabo la sensibilización y la DGOAEEF llevó a cabo la gestión de dicha actividad.</t>
  </si>
  <si>
    <t>Los sujetos obligados sensibilizados conocen los programas y las políticas que en materia de gobierno abierto y transparencia se están llevando a cabo.</t>
  </si>
  <si>
    <t>Se llevó a cabo una acción de capacitación el día 22 de agosto de 2017 sobre clasificación y desclasificación de la información, lo impartieron Senén Valdés Villalobos y Ángel Horta Pérez, dicha acción de capacitación fue programada por la Dirección General de Capacitación.</t>
  </si>
  <si>
    <t>Gracias a esta acción, 20 funcionarios públicos de distintos sujetos obligados fueron capacitados en materia de clasificación y desclasificación de la información.</t>
  </si>
  <si>
    <t>Adicional a las quince acciones de acercamiento que se realizaron durante el año, se tenían programadas dos acciones más, una referente a la Semana Nacional de Transparencia y otra relativa a la presentación pública del Diagnóstico Institucional elaborado por el CIDE y el INAI, sin embargo, atendiendo a la declaratoria de emergencia que se decretó por el Jefe de Gobierno de la Ciudad de México, a raíz del sismo del 19 de septiembre de 2017, dichos eventos se cancelaron, por lo tanto no se reportan.</t>
  </si>
  <si>
    <t>Se cumplió con la meta en cuanto a acciones de acercamiento y fortalecimiento, no obstante que dos acciones no se llevaron a cabo por causa de la declaratoria de emergencia.</t>
  </si>
  <si>
    <t>A partir del análisis de los resultados de las metas de la MIR 2016, se determinó aumentar la meta a 87%, el cual es un valor más apegado a los resultados que busca alcanzar esta Dirección General. La meta aumentó de 85% a 87%. La adecuación se realizó para el segundo y cuarto trimestre.</t>
  </si>
  <si>
    <t>A partir del análisis de los resultados de las metas de la MIR 2016, se determinó aumentar la meta a 87%, el cual es un valor más apegado a los resultados que busca alcanzar esta Dirección General. Aplica al cuarto trimestre.</t>
  </si>
  <si>
    <t>A partir del análisis de los resultados de las metas de la MIR 2016, se determinó aumentar la meta a 87%, el cual es un valor más apegado a los resultados que busca alcanzar esta Dirección General. La meta aumentó de 85% a 87%.La adecuación se realizó para primer, segundo, tercer y cuarto trimestre</t>
  </si>
  <si>
    <t>A partir del análisis de los resultados de las metas de la MIR 2016, se determinó aumentar la meta a 87%, el cual es un valor más apegado a los resultados que busca alcanzar esta Dirección General. La meta aumentó de 85% a 87%. La adecuación se realizó para primer, segundo, tercer y cuarto trimestre</t>
  </si>
  <si>
    <t>A partir del análisis de los resultados de las metas de la MIR 2016, se determinó aumentar la meta a 87%, el cual es un valor más apegado a los resultados que busca alcanzar esta Dirección General. La meta aumentó de 85% a 87%. Segundo y cuarto trimestre</t>
  </si>
  <si>
    <t>370- Dirección General de Enlace con los Poderes Legislativo y Judicial</t>
  </si>
  <si>
    <t>Contribuir a garantizar el óptimo cumplimiento de los derechos de acceso a la información pública y la protección de datos personales  mediante el efectivo cumplimiento de las obligaciones de transparencia de los sujetos obligados de los poderes legislativo y judicial</t>
  </si>
  <si>
    <t>Porcentaje de obligaciones de transparencia y acceso a la información (comunes y específicas) establecidas en la normatividad vigente que se cumplen y actualizan en la Plataforma Nacional de Transparencia y en los sitios de Internet de los Sujetos Obligados de los Poderes Legislativo y Judicial.</t>
  </si>
  <si>
    <t>Los Sujetos Obligados de los Poderes Legislativo y Judicial cumplen con las disposiciones establecidas en el marco normativo de transparencia y acceso a la información.</t>
  </si>
  <si>
    <t>(Número de fracciones relacionadas con las obligaciones de transparencia comunes y específicas establecidas en la LGTAIP y la LFTAIP actualizadas en los sitios de Internet de los Sujetos Obligados correspondientes que forman parte del Padrón actualizado y en la Plataforma Nacional de Transparencia  / Número total de fracciones relacionadas con las obligaciones de transparencia comunes y específicas que se deben actualizar conforme a la LGTAIP, la LFTAIP y las Tablas de Aplicabilidad)*  100</t>
  </si>
  <si>
    <t>Porcentaje de avance en el Programa de Seguimiento a Sujetos Obligados de los Poderes Legislativo y Judicial.</t>
  </si>
  <si>
    <t>Programa de Seguimiento a los Sujetos Obligados de los Poderes Legislativo y Judicial realizado.</t>
  </si>
  <si>
    <t>(Número de acciones completadas reflejadas en el  tablero de control incluido en el Programa de Seguimiento a Sujetos Obligados de los Poderes Legislativo y Judicial  / Número de acciones programadas en el Programa de Seguimiento a Sujetos Obligados de los Poderes Legislativo y Judicial)*100</t>
  </si>
  <si>
    <t>Porcentaje de avance en el Programa de Acompañamiento a Sujetos Obligados de los Poderes Legislativo y Judicial.</t>
  </si>
  <si>
    <t>Programa de Acompañamiento a los Sujetos Obligados de los Poderes Legislativo y Judicial realizado.</t>
  </si>
  <si>
    <t>(Número de acciones completadas reflejadas en el tablero de control incluido en el Programa de Acompañamiento a Sujetos Obligados de los Poderes Legislativo y Judicial / Número de acciones programadas en el Programa de Acompañamiento a Sujetos Obligados de los Poderes Legislativo y Judicial)*100</t>
  </si>
  <si>
    <t>Porcentaje de cumplimiento del Programa  Anual de Verificación en lo correspondiente a los capítulos II y III del Título Quinto de la LGTAIP.</t>
  </si>
  <si>
    <t>Verificación del cumplimiento de obligaciones de transparencia de los Sujetos Obligados de los Poderes Legislativo y Judicial.</t>
  </si>
  <si>
    <t>(Número de obligaciones de transparencia que se verifican como cumplidas por parte de los Sujetos Obligados de los Poderes Legislativo y Judicial de acuerdo con el Programa Anual de Verificación / Número total de obligaciones de transparencia programadas para verificarse en el semestre de acuerdo con el Programa Anual de Verificación en lo que corresponde a los capítulos II y III del Título Quinto de la LGTAIP)* 100</t>
  </si>
  <si>
    <t>Porcentaje de Sujetos Obligados a los que se hizo requerimiento para asegurar el cumplimiento de las obligaciones de transparencia establecidas en los artículos 70, 72 y 73 de la LGTAIP que deben publicar en sus Sitios de Internet y la Plataforma Nacional.</t>
  </si>
  <si>
    <t xml:space="preserve">Requerimientos oficiales para el cumplimiento de las obligaciones de transparencia de los Sujetos Obligados de los Poderes Legislativo y Judicial. </t>
  </si>
  <si>
    <t xml:space="preserve">(Sujetos Obligados de los Poderes Legislativo y Judicial a los que se les hizo un requerimiento mediante comunicación oficial, para cumplir con las obligaciones de transparencia  / Sujetos obligados a los que se les identificó un área de oportunidad en el cumplimiento de las obligaciones de transparencia)* 100
</t>
  </si>
  <si>
    <t>Porcentaje de cumplimiento del Programa  Anual de Evaluación relacionado a la calidad de las respuestas otorgadas a las Solicitudes de Información Pública 2017.</t>
  </si>
  <si>
    <t>Verificar la calidad de las respuestas otorgadas a las Solicitudes de Información Pública por parte de los Sujetos Obligados de los Poderes Legislativo y Judicial.</t>
  </si>
  <si>
    <t xml:space="preserve">(Número de Respuestas a Solicitudes de Información por parte de los  Sujetos Obligados de los Poderes Legislativo y Judicial Revisadas / Total de Respuestas  a Solicitudes de Información Programadas para Revisarse conforme a la Muestra elaborada por la Dirección General de Evaluación)*100
</t>
  </si>
  <si>
    <t>Atención a consultas normativas.</t>
  </si>
  <si>
    <t>(Número de consultas normativas atendidas/ Número de consultas normativas realizadas por los Sujetos Obligados de los Podres Legislativo y Judicial)*100</t>
  </si>
  <si>
    <t>Sin meta</t>
  </si>
  <si>
    <t>Porcentaje de reportes elaborados en relación a las  altas, bajas o modificaciones identificadas en el Diario Oficial de la Federación referentes a sujetos obligados  del ámbito federal</t>
  </si>
  <si>
    <t>Identificar en el Diario Oficial de la Federación  las altas, bajas o modificaciones de Sujetos Obligados del ámbito federal, con el objetivo de mantener actualizado el Padrón de Sujetos Obligados del ámbito federal, responsabilidad del INAI.</t>
  </si>
  <si>
    <t>(Número de reportes del DOF elaborados y remitidos a la SAI/Número de altas, bajas y modificación identificadas en el DOF)*100</t>
  </si>
  <si>
    <t>Porcentaje de elaboración de notas relacionadas con temas de transparencia, acceso a la información, protección de datos personales y anticorrupción tratados en las sesiones de los Plenos de los sujetos obligados de los Poderes Legislativo y Judicial</t>
  </si>
  <si>
    <t>Elaborar notas informativas y técnicas derivadas del seguimiento a las sesiones de los Plenos de los Sujetos Obligados del Poder Legislativo y Judicial en temas como transparencia, acceso a la información, protección de datos personales y anticorrupción, que sirvan como instrumentos de comunicación institucional.</t>
  </si>
  <si>
    <t>(Número de notas elaboradas/Número de sesiones de los Plenos de los sujetos obligados de los Poderes Legislativo y Judicial en donde se abordaron temas de transparencia, acceso a la información, protección de datos personales y anticorrupción)*100</t>
  </si>
  <si>
    <t>Porcentaje de ejecución de acciones de acompañamiento adicionales con  Sujetos Obligados de los Poderes Legislativo y Judicial.</t>
  </si>
  <si>
    <t>Ejecución de acciones de acompañamiento adicionales con los Sujetos Obligados de los Poderes Legislativo y Judicial para el cumplimiento de la normatividad pertinente.</t>
  </si>
  <si>
    <t>(Acciones adicionales realizadas a petición de parte para otorgar  acompañamiento a los Sujetos Obligados de los Poderes Legislativo y Judicial / Acciones de acompañamiento solicitadas por parte de los Sujetos Obligados o de las Unidades Administrativas del INAI)* 100</t>
  </si>
  <si>
    <t>Porcentaje de elaboración de estudios sobre transparencia y acceso a la información pública, en relación con los Sujetos Obligados de los Poderes Legislativo y/o Judicial.</t>
  </si>
  <si>
    <t>Elaboración de estudios sobre transparencia y acceso a la información pública, en relación con los Sujetos Obligados de los Poderes Legislativo y/o Judicial.</t>
  </si>
  <si>
    <t>(Número de estudios elaborados /  Número de estudios programados)* 100</t>
  </si>
  <si>
    <t>Porcentaje de grupos de opinión  realizados para fomentar la cultura de la transparencia y acceso a la información en los Sujetos Obligados de los Poderes Legislativo y Judicial.</t>
  </si>
  <si>
    <t>Generación de grupos de opinión para fomentar la cultura de la transparencia y acceso a la información.</t>
  </si>
  <si>
    <t>(Grupos de opinión realizados para fomentar la cultura de la transparencia y acceso a la información / Grupos de opinión programados en el Programa Anual de Acompañamiento para fomentar la cultura de la transparencia y acceso a la información)* 100</t>
  </si>
  <si>
    <t>Porcentaje de asistencia a eventos o reuniones en materia al que sea comisionado uno o más servidores públicos de la DGEPLJ.</t>
  </si>
  <si>
    <t>Participación en eventos o reuniones nacionales e internacionales en materia de transparencia, acceso a la Información y protección de datos personales.</t>
  </si>
  <si>
    <t>(Número de eventos o reuniones a los que asista la DGEPLJ derivado de una comisión / Número de eventos o reuniones a los que se comisione a la DGEPLJ)* 100</t>
  </si>
  <si>
    <t>Porcentaje de atención a consultas e incidencias técnicas</t>
  </si>
  <si>
    <t>Atención de consultas e incidencias técnicas.</t>
  </si>
  <si>
    <t>(Consultas e Incidencias técnicas atendidas/Consultas e incidencias técnicas presentadas)*100</t>
  </si>
  <si>
    <t>Porcentaje de sujetos obligados de los Poderes Legislativo y Judicial, sensibilizados en materia de Políticas de Acceso, Gobierno Abierto y Transparencia Proactiva.</t>
  </si>
  <si>
    <t xml:space="preserve">Cumplimiento de los programas de trabajo de Políticas de Acceso, Gobierno Abierto y Transparencia Proactiva concertados con las áreas técnicas correspondientes del INAI y con los Sujetos Obligados de los Poderes Legislativo y Judicial. </t>
  </si>
  <si>
    <t>(Número de sujetos obligados de los Poderes Legislativo y Judicial en los que se realizaron acciones de promoción y sensibilización establecidas en el programa de trabajo de Políticas de Acceso + Número de sujetos obligados de los Poderes Legislativo y Judicial en los que se realizaron acciones de promoción y sensibilización establecidas en el programa de trabajo de las políticas de Gobierno Abierto y Transparencia Proactiva)/(Número de sujetos obligados de los Poderes Legislativo y Judicial en los que se programó la realización de acciones de promoción y sensibilización en los programas de trabajo de las políticas de acceso, gobierno abierto y transparencia proactiva)* 100</t>
  </si>
  <si>
    <t>Impartición de capacitaciones especializadas para los sujetos obligados  de los Poderes Legislativo y Judicial.</t>
  </si>
  <si>
    <t xml:space="preserve">(Capacitaciones especializadas impartidas/ Capacitaciones especializadas solicitadas por la Dirección General de Capacitación)*100
</t>
  </si>
  <si>
    <t xml:space="preserve">De conformidad con lo establecido en el artículo Segundo Transitorio de los "Lineamientos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 habrá un periodo de seis meses para que los sujetos obligados en el ámbito federal incorporen a sus portales de Internet y a la Plataforma Nacional la información referida en el Título Tercero, Capítulos I y II, de la Ley Federal, de conformidad con las disposiciones establecidas en los presentes Lineamientos y en sus respectivos anexos. Asimismo, considerando lo establecido en el Artículo Primero del "Acuerdo mediante el cual se aprueba ampliar por causa de fuerza mayor el plazo establecido en el Artículo Segundo Transitorio de los 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 se aprueba ampliar por causa de fuerza mayor el plazo establecido en el Artículo Segundo Transitorio de los 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 para quedar como fecha límite de cumplimiento el día 20 de diciembre de 2017, en términos del Considerando 15, de tal manera que los sujetos obligados deberán publicar la información a partir del primer día hábil de enero de 2018. En consecuencia, en este indicador sólo se considera el número total de fracciones relacionadas con las obligaciones de transparencia comunes y específicas que se deben actualizar conforme a la Ley General de Transparencia y Acceso a la Información Pública (LGTAIP).    </t>
  </si>
  <si>
    <t>La verificación del cumplimiento de las obligaciones de transparencia permitió que los sujetos obligados de los Poderes Legislativo y Judicial publicaran más y mejor información en la Plataforma Nacional de Transparencia (PNT), contribuyendo con ello a la formación de una ciudadanía más participativa e informada, capaz de ejercer y demandar sus derechos.</t>
  </si>
  <si>
    <t>Durante el ejercicio 2017, la DGEPLJ ejecutó el Programa Anual de Trabajo de Seguimiento a los Sujetos Obligados de los Poderes Legislativo y Judicial 2017, integrado por 6 acciones, que comprenden 12 actividades. Se destaca que a través de este Programa se contribuyó de forma cuantitativa y cualitativa al cumplimiento de una de las obligaciones de este organismo garante, establecida en el artículo 63 LGTAIP, verificar el cumplimiento de las obligaciones de transparencia de los sujetos obligados, aun y cuando se realizó una primera verificación diagnóstica.
En este contexto, fue posible conocer el cumplimiento de las obligaciones de transparencia de la LGTAIP de 3 sujetos obligados del Poder Legislativo y 14 del Poder Judicial, de lo cual resalta que estos sujetos obligados fueron de los mejores evaluados en la primera etapa de la verificación diagnóstica, a nivel nacional. Ello, fue posible también gracias al acompañamiento, asesorías y atención de consultas normativas incluidas en el Programa Anual de referencia.</t>
  </si>
  <si>
    <t>Derivado del seguimiento puntual a los sujetos obligados a cargo de esta Dirección General de Enlace, se logró que el resultado de la verificación de las obligaciones de transparencia contribuya de forma directa en el bajo índice de denuncias por incumplimiento a las obligaciones de transparencia de los sujetos obligados de los Poderes Legislativo y Judicial. Lo anterior refleja que la información de estos sujetos obligados contenida en la PNT cumple con los criterios establecidos en los Lineamientos Técnicos Generales, y por ende con la búsqueda de información que realizan los ciudadanos.</t>
  </si>
  <si>
    <t>En el ejercicio 2017, la DGEPLJ ejecutó 7/7 acciones correspondientes al Programa de Acompañamiento a los Sujetos Obligados de los Poderes Legislativo y Judicial, entre las cuales se encuentran la elaboración de materiales sintéticos; la oferta de capacitación en línea y presencial del INAI; la impartición de Sesiones informativas para dudas sobre la Plataforma Nacional de Transparencia; la emisión del Informe Ejecutivo del Observatorio de Transparencia Legislativa y Parlamento Abierto; la publicación de las Memorias del Seminario de Transparencia Legislativa 2016: Hacia un Modelo de Parlamento Abierto; la participación en eventos y reuniones nacionales en materia de transparencia, acceso a la Información y protección de datos personales; la intervención en grupos de opinión con especialistas; la asistencia a eventos y reuniones en materia de transparencia, acceso a la información y protección de datos personales; brindar asesorías; la atención a consultas y/o incidencias técnicas; acciones con los sujetos obligados relacionadas con los programas de políticas de acceso a la información, transparencia proactiva y gobierno abierto, entre otras, de las cuales 2/7 fueron realizadas en el primer semestre y en el segundo semestre 7/7. No obstante la actividad consistente en el evento denominado Seminario de Transparencia Legislativa 2017, el cual estaba programado y presupuestado, pero no fue posible realizarlo debido a los sucesos del 19 de septiembre, lo que llevó a este Instituto a cancelar todos los eventos públicos en consideración de la Declaratoria de Desastre emitida el 21 de septiembre por el Jefe de Gobierno de la CDMX, además de las afectaciones que por el mismo hecho sufrieron los sujetos obligados.</t>
  </si>
  <si>
    <t>El desarrollo de las acciones del Programa de Acompañamiento a los Sujetos Obligados de los Poderes Legislativo y Judicial tuvo un impacto importante para la obtención de los resultados en el cumplimiento de las obligaciones de transparencia de los sujetos obligados competencia de esta Dirección General de Enlace, el fomento de la cultura de transparencia, la garantía de los derechos de acceso a la información y protección de datos personales, así como en el desempeño eficiente de las funciones encomendadas a esta Dirección General de Enlace.</t>
  </si>
  <si>
    <t>La DGEPLJ llevó a cabo la primera verificación diagnóstica a 3 sujetos obligados del Poder Legislativo y 14 del Poder Judicial, en los que están incluidos los fondos y fideicomisos sin estructura, cuyo propósito fue detectar áreas de oportunidad de cada sujeto obligado para dar cumplimiento a las obligaciones de transparencia previstas en la LGTAIP. En este sentido, se verificaron un total de 360 obligaciones de transparencia, las cuales corresponden a los 17 sujetos obligados referidos, en el periodo que va del 31 de julio al 11 de agosto del ejerció que se reporta. Lo anterior de conformidad con lo dispuesto en el ACUERDO ACT-PUB/17/05/2017, mediante el cual se aprueba el Programa Anual para la Verificación del Cumplimiento de las Obligaciones en Materia de Transparencia por parte de los sujetos obligados del ámbito federal, correspondiente al ejercicio 2017.</t>
  </si>
  <si>
    <t>La Verificación del Cumplimiento de Obligaciones de Transparencia contribuyó a que la ciudadanía tuviera acceso a más información y mejor información de los sujetos obligados de los Poderes Legislativo y Judicial.</t>
  </si>
  <si>
    <t>Derivado de la primera verificación diagnóstica a 3 sujetos del Poder Legislativo y 14 del Poder Judicial, la DGEPLJ generó las Memorias Técnicas de Verificación correspondientes: 17, mismas que contienen las observaciones y recomendaciones realizadas en la primera etapa de la verificación, las cuales identifican áreas de oportunidad de esos sujetos en el cumplimiento de sus obligaciones de transparencia.
 Cabe señalar que al ser una verificación diagnóstica, los resultados de ésta no fueron vinculantes y no se emitieron requerimientos, sino observaciones y recomendaciones, las cuales tuvieron un carácter equivalente, toda vez que, a través del oficio INAI/SAI/DGEPLJ/0144/2017, se notificaron a los sujetos obligados los resultados de dicha verificación y, de conformidad con lo dispuesto en la última parte de la fracción II del artículo 88 de la LGTAIP, se les estableció un plazo de hasta veinte días hábiles para que comunicaran a esta Dirección General de Enlace cualquier duda u observación que tuvieran respecto de los resultados obtenidos; así como para atender las observaciones y recomendaciones, y subir al SIPOT aquella información faltante, lo cual resulta en benéfico de la ciudadanía.</t>
  </si>
  <si>
    <t>Esta actividad fue de gran relevancia ya que contribuyó en buena medida a un mayor cumplimiento de las obligaciones de transparencia de los 17 sujetos obligados verificados, en virtud de que la emisión de observaciones y recomendaciones remitidas les permitió mejorar la publicación de la información y completar aquella que les faltaba.</t>
  </si>
  <si>
    <t xml:space="preserve">De esta Dirección General de Enlace se verificaron dos sujetos obligados de los veinte mencionados, lo que se tradujo en la revisión de 40 solicitudes de información de las 400 muestreadas. </t>
  </si>
  <si>
    <t>El cumplimiento de las obligaciones de transparencia de la LGTAIP estuvo vinculado a la observancia de los Lineamientos Técnicos Generales emitidos por el Consejo Nacional del Sistema Nacional de Transparencia, Acceso a la Información Pública y Protección de Datos Personales, lo cual generó de  los sujetos obligados de los Poderes Legislativo y Judicial diversas consultas normativas, mismas que estuvieron referidas a interpretar y precisar el contenido de los Lineamientos Técnicos Generales.</t>
  </si>
  <si>
    <t>La atención de consultas normativas permitió que los sujetos obligados tuvieran la interpretación jurídica correcta de los Lineamientos Técnicos Generales, lo que contribuyó a que la información publicada en la PNT contara con las características de veracidad, confiabilidad, oportunidad, congruencia, integralidad, actualidad, accesibilidad, comprensibilidad y verificabilidad.</t>
  </si>
  <si>
    <t>En cumplimiento con lo dispuesto en el oficio INAI/CAI/0393/2016, así como en el numeral 2, segundo párrafo del punto “a”, del Procedimiento para alta, baja o modificación de sujetos obligados en el Padrón de Sujetos Obligados del Ámbito Federal, en términos de la Ley General de Transparencia y Acceso a la Información Pública, esta Dirección General de Enlace revisa diariamente el Diario Oficial de la Federación (DOF) para identificar la creación, modificación, extinción, fusión, liquidación, entre otros, de sujetos obligados.</t>
  </si>
  <si>
    <t>Se emitieron y remitieron a la Secretaría de Acceso a la Información (SAI) y a sus Direcciones Generales de Enlace, 152 correos electrónicos con los reportes de revisión al DOF, en los cuales se identificaban eventuales altas, bajas o modificaciones de sujetos obligados del ámbito federal, así como información relevante y de interés general para todo el INAI. Esto contribuyó a mantener actualizado el Padrón de Sujetos Obligados del Ámbito Federal, responsabilidad del INAI.</t>
  </si>
  <si>
    <t>Los sujetos obligados de los Poderes Legislativo y Judicial tienen entre sus facultades, las de emitir normativas y sentencias que deben ser observadas por el INAI; por lo anterior, la actividad de seguimiento a los plenos de dichos poderes debe realizarse de forma sistemática y oportuna para comunicar a través de notas informativas lo conducente a los mandos superiores del INAI.</t>
  </si>
  <si>
    <t>Se elaboraron 136 Alertas entre Legislativas y Judiciales, mediante el puntual seguimiento a los Plenos de la Cámara de Diputados, el Senado de la República y la Suprema Corte de Justicia de la Nación, en aquellas sesiones donde se discutieron temas relacionados con las materias de transparencia, acceso a la información, protección de datos personales y anticorrupción. 
Esta actividad es de alto impacto al interior del INAI, toda vez que provee información a los más altos niveles directivos como son los Comisionados y Comisionadas, así como al Secretario de Acceso a la Información, para una adecuada toma de decisiones y comunicación interinstitucional.</t>
  </si>
  <si>
    <t>El porcentaje alcanzado de la meta corresponde a la realización en el primer semestre de un grupo de trabajo especializado sobre Parlamento Abierto en el que participaron académicos de la UNAM y representantes de organizaciones que integran la Alianza para el Parlamento Abierto, con el propósito de identificar elementos relevantes para la labor de la DGEPLJ en materia de acceso a la información y transparencia en la Cámara de Diputados y el Senado de la República, así como definir directrices para el desarrollo del Proyecto de Observatorio de Transparencia Legislativa y Parlamento Abierto aplicado en el segundo semestres a la Cámara de Diputados. También se incluye la reunión con los cinco sujetos obligados de la DGEPLJ en el segundo semestre, para mediante un taller de capacitación y con el apoyo de la Dirección General de Evaluación y de la Secretaría Particular del Comisionado Oscar Guerra Ford, difundir las mejoras al Sistema de Portales de Obligaciones de Transparencia (SIPOT). 
Por otra parte, el Seminario de Transparencia Legislativa 2017 no fue realizado debido a los sucesos del 19 de septiembre que llevaron a este Instituto a cancelar todos sus eventos públicos en consideración de la Declaratoria de Desastre emitida el 21 de septiembre por el Jefe de Gobierno de la CDMX, así como las afectaciones que por el mismo hecho sufrieron los sujetos obligados.</t>
  </si>
  <si>
    <t>Con el grupo de trabajo especializado de Parlamento Abierto y el taller de capacitación sobre las mejoras al Sistema de Portales de Obligaciones de Transparencia (SIPOT) se generaron mejores estrategias y toma de decisiones en el acompañamiento de la DGEPLJ a los sujetos obligados del Poder Legislativo en el cumplimiento de sus obligaciones de transparencia mediante el uso de la herramienta tecnológica SIPOT. Sin embargo, la imposibilidad de realizar el Seminario de Transparencia Legislativa 2017 obstaculizó dar continuidad al trabajo iniciado con el Seminario de Transparencia Legislativa 2016, aunado a evitar generar un espacio en el que el organismo garante, la sociedad civil y los sujetos obligados del Poder Legislativo pudieran evaluar los avances en el tema de Parlamento Abierto y el cumplimiento de obligaciones de transparencia, así como proponer nuevos objetivos al respecto.</t>
  </si>
  <si>
    <t>Esta actividad comprendió la elaboración del Convenio Específico de Colaboración celebrado entre el INAI y la UNAM, el cual fue firmado el 27 de junio de 2017, para el desarrollo del Observatorio de Transparencia Legislativa y Parlamento Abierto aplicado a la Cámara de Diputados del Congreso de la Unión, y que tuvo como resultado la entrega del estudio mediante un Informe Ejecutivo validado.</t>
  </si>
  <si>
    <t>Esta actividad tienen un impacto relevante en los sujetos obligados del ámbito legislativo del país, debido a que el estudio de tipo descriptivo realizado permite identificar buenas prácticas de transparencia legislativa y parlamento abierto que puedan ser replicadas en otros órganos legislativos del país, así como la identificación de áreas de oportunidad en la materia, además de que los resultados plasmados en el Informe Ejecutivo pueden incidir para un mayor ejercicio del derecho de acceso a la información, la transparencia legislativa y la participación ciudadana.</t>
  </si>
  <si>
    <t>Personal de la DGEPLJ intervino en 3 grupos de opinión en los que fueron abordados diversos ejes temáticos de la transparencia y el acceso a la información, además del ejercicio de las atribuciones del organismo garante  respecto de sujetos obligados de los ámbitos legislativo y judicial.</t>
  </si>
  <si>
    <t>Con la participación de la DGEPLJ en grupos de opinión donde intervienen sujetos obligados de los Poderes Legislativo y Judicial, académicos, especialistas, organizaciones de la sociedad civil y público interesado, permite tener un impacto importante al impulsar y socializar la cultura de la transparencia y los derechos de acceso a la información y de protección de datos personales, en particular en los ámbitos legislativo y judicial, a partir del análisis y debate de los temas en esa materia.</t>
  </si>
  <si>
    <t>En el periodo reportado se recibieron seis invitaciones, que derivaron en comisiones,  para participar en actividades de promoción y difusión de la transparencia y el acceso a la información, organizadas por sujetos obligados de esta Dirección General de Enlace, como la Suprema Corte de Justicia de la Nación y el Consejo de la Judicatura Federal, además del Congreso de Sinaloa y una organización de la sociedad civil, en los estados de Sinaloa, Puebla, Yucatán y Baja California Sur.</t>
  </si>
  <si>
    <t>La participación de personal de la DGEPLJ en eventos o reuniones en materia de transparencia, acceso a la información y protección de datos personales tienen un impacto relevante al posibilitar la generación de canales de comunicación del INAI con los sujetos obligados de los Poderes Legislativo y Judicial, así con organismos garantes locales y sujetos obligados diversos. De igual manera, esto permite que personal de la DGEPLJ recoja inquietudes, puntos de vista y propuestas que pueden ser consideradas como un insumo en la labor cotidiana de acompañamiento a los sujetos obligados de los Poderes Legislativo y Judicial para el cumplimiento de sus obligaciones de transparencia y la satisfacción de los derechos de acceso a la información y de protección de datos personales.</t>
  </si>
  <si>
    <t>En el periodo que se reporta se realizaron gestiones con la Dirección General de Tecnologías de la Información y la Dirección General de Evaluación para dar atención a las 200 incidencias reportadas por los sujetos obligados a cargo de esta Dirección General de Enlace, relacionadas con: dificultades en la carga de información por lotes, la no visualización de la información, así como el llenado de campos vacíos y formatos del SIPOT, duplicidad de registros, entre otras. Sin embargo, a la fecha que se reporta, 19 de éstas no han sido resueltas por las áreas especializadas.</t>
  </si>
  <si>
    <t>La atención de incidencias y consultas técnicas, además de las consultas normativas, como una medida de acompañamiento constante a los sujetos obligados, tienen un impacto sustancial en el  avance y mejora de la carga de la información en el SIPOT de los sujetos obligados de los Poderes Legislativo y Judicial, lo cual redundó en la publicación oportuna de la información y en una evaluación diagnóstica con los mayores niveles de calificación respecto del universo de sujetos obligados que conforman el Padrón correspondiente.</t>
  </si>
  <si>
    <t>En el periodo que se reporta se realizaron ocho acciones de promoción y/o sensibilización de políticas de acceso, gobierno abierto y transparencia entre los sujetos obligados de esta DGEPLJ, como lo son la Cámara de Diputados, el Senado de la República, la Auditoria Superior de la Federación y el Consejo de la Judicatura Federal, entre las que se encuentran la presentación de las Herramientas de Comisiones Abiertas, Transparencia en Publicidad Oficial y Contrataciones Abiertas; la impartición de un Taller de Gobierno Abierto, así como la notificación de los resultados del Censo Nacional de Transparencia 2016 sobre políticas basadas en evidencia del Programa Específico de Políticas de Acceso 2017.</t>
  </si>
  <si>
    <t>Las acciones de la DGEPLJ en los sujetos obligados de los Poderes Legislativo y Judicial en materia de Políticas de Acceso, Gobierno Abierto y Transparencia Proactiva permite su sensibilización en estos temas, incentivar la adopción de políticas y herramientas al respecto, así como dar a conocer las acciones emprendidas por el INAI al respecto en beneficio de los ciudadanos y el ejercicio de sus derechos.</t>
  </si>
  <si>
    <t>El supuesto de este indicador señala que la Dirección General de Capacitación solicita a la DGEPLJ la impartición de capacitación especializada con base en la detección de necesidades de los sujetos obligados de los Poderes Legislativo y Judicial. Debido a que en el periodo que se reporta, la Dirección General de Capacitación no solicitó a esta Dirección General de Enlace la impartición de capacitación especializada, el indicador se reporta sin avance.</t>
  </si>
  <si>
    <t>Si bien no fueron solicitadas capacitaciones especializadas a la DGEPLJ para los sujetos obligados de los Poderes Legislativo y Judicial, las acciones de acompañamiento realizadas como la atención de consultas técnicas y normativas permitieron solventar las dificultades en temas tales como la carga de información, funcionamiento de la PNT y de las mejoras al SIPOT.</t>
  </si>
  <si>
    <t>Esta actividad se agregó debido a las nuevas facultades del Instituto conferidas en el Estatuto Orgánico del Instituto Nacional de Transparencia, Acceso a la Información y Protección de Datos Personales, publicado el 17 de enero de 2017.</t>
  </si>
  <si>
    <t>Se actualizó la meta con la finalidad de que guarde coherencia con la meta anual. Trimestre modificado: Cuarto. Se modificó la meta del cuarto trimestre de 80% a 90%.</t>
  </si>
  <si>
    <t>Se actualizó la meta con la finalidad de que guarde coherencia con la meta anual. Trimestre modificado: Cuarto. Se modificó la meta del cuarto trimestre de 90% a 100%.</t>
  </si>
  <si>
    <t>Se actualizó la meta con la finalidad de que guarde coherencia con la meta anual. Trimestres modificados: Segundo, Tercero y Cuarto. Se modificaron las metas del segundo, tercer y cuarto trimestre de 80% a 100%.</t>
  </si>
  <si>
    <t>350 - Dirección General de Enlace con Partidos Políticos, Organismos Electorales y Descentralizados</t>
  </si>
  <si>
    <t>Contribuir a Garantizar el óptimo cumplimiento de los derechos a la información pública y la protección de datos personales, a través del acompañamiento y el seguimiento de cumplimientos proporcionado a los sujetos obligados correspondientes para el cumplimiento de la normatividad en materia de acceso a la información y protección de datos personales</t>
  </si>
  <si>
    <t>Los sujetos obligados correspondientes  cumplen con las disposiciones establecidas en el marco normativo de transparencia y acceso a la información</t>
  </si>
  <si>
    <t>ICCOT DGEPPOED = αIGCPT + βIGCR + γIGDUT</t>
  </si>
  <si>
    <t>Porcentaje de seguimiento para el cumplimiento en materia de obligaciones de transparencia</t>
  </si>
  <si>
    <t>Programa de seguimiento a los sujetos obligados correspondientes realizado</t>
  </si>
  <si>
    <t>[(Número de actividades para el cumplimiento de obligaciones de transparencia de los sujetos obligados correspondientes realizadas / Número de actividades para el cumplimiento de obligaciones de transparencia de los sujetos obligados correspondientes programadas) x 100]</t>
  </si>
  <si>
    <t>Porcentaje de acompañamiento para el cumplimiento en materia de obligaciones de transparencia</t>
  </si>
  <si>
    <t>Programa de acompañamiento permanente a los sujetos obligados correspondientes otorgado</t>
  </si>
  <si>
    <t>((Número de actividades de acompañamiento realizadas a los sujetos obligados correspondientes / Número de actividades de acompañamiento solicitadas por los sujetos obligados correspondientes))* 100</t>
  </si>
  <si>
    <t>Porcentaje de programas de trabajo específicos sobre políticas de transparencia implementados</t>
  </si>
  <si>
    <t>Ejecución de programas de trabajo específicos sobre políticas de transparencia</t>
  </si>
  <si>
    <t>((Registro de programas de trabajo específicos ejecutados por los sujetos obligados correspondientes / Número total de programas específicos solicitados por los sujetos obligados correspondientes)) * 100</t>
  </si>
  <si>
    <t>Porcentaje de convenios generales y específicos firmado</t>
  </si>
  <si>
    <t>Promoción de firma de convenios de colaboración</t>
  </si>
  <si>
    <t>((Número de convenios firmados entre los sujetos obligados correspondientes  y el INAI) / (diez)) *100</t>
  </si>
  <si>
    <t>Gestión de consultas normativas</t>
  </si>
  <si>
    <t>(Número de consultas normativas atendidas/ Número de consultas normativas presentadas por los sujetos obligados correspondientes)*100</t>
  </si>
  <si>
    <t>Porcentaje de gestión de consultas normativas</t>
  </si>
  <si>
    <t>(Número de consultas normativas gestionadas / Número de consultas normativas presentadas por los sujetos obligados correspondientes)*100</t>
  </si>
  <si>
    <t>Porcentaje de atención a consultas técnicas</t>
  </si>
  <si>
    <t>Atención a reportes y consultas de incidencias técnicas</t>
  </si>
  <si>
    <t>((Número de asistencias técnicas otorgadas a los sujetos obligados correspondientes) / (Número de solicitudes de asistencias técnicas solicitadas por los sujetos obligados correspondientes)) * 100</t>
  </si>
  <si>
    <t>Porcentaje de gestión de consultas técnicas</t>
  </si>
  <si>
    <t>((Número de consultas técnicas gestionadas para los sujetos obligados correspondientes) / (Número de solicitudes de consultas técnicas solicitadas por los sujetos obligados correspondientes)) * 100</t>
  </si>
  <si>
    <t>Porcentaje de asistencia de los Comités y Unidades de Transparencia a eventos que promueven mejores prácticas orientadas a la transparencia organizacional</t>
  </si>
  <si>
    <t>Promoción de políticas y mejores prácticas orientadas al valor de la cultura organizacional de la transparencia</t>
  </si>
  <si>
    <t>((Número de Unidades de Transparencia que asisten + Número de Comités de Transparencia que asisten) / (Número total de Unidades de Transparencia + Número total de Comités de Transparencia)) * 100</t>
  </si>
  <si>
    <t>Impartición de capacitación especializada para los sujetos obligados correspondientes</t>
  </si>
  <si>
    <t>Porcentaje de sujetos obligados correspondientes sensibilizados en materia de Políticas de Acceso, Gobierno Abierto y Transparencia Proactiva.</t>
  </si>
  <si>
    <t>Cumplimiento de los programas de trabajo de Políticas de Acceso, Gobierno Abierto y Transparencia Proactiva concertados con las áreas técnicas correspondientes del INAI y con  los sujetos obligados correspondientes.</t>
  </si>
  <si>
    <t>((SOA= Número de sujetos obligados correspondientes con los que se realizaron acciones de promoción y sensibilización establecidas en el programa de trabajo de Políticas de Acceso + SOGAT= Número de  sujetos obligados correspondientes con los que se realizaron acciones de promoción y sensibilización establecidas en el programa de trabajo de las políticas de Gobierno Abierto y Transparencia Proactiva)/(SOT=Número de   sujetos obligados correspondientes con los que se programó la realización de acciones de promoción y sensibilización en los programas de trabajo de las políticas de acceso, gobierno abierto y transparencia proactiva))* 100</t>
  </si>
  <si>
    <t>Porcentaje de sujetos obligados que cumplen con sus políticas y/o programas específicos de trabajo en temas como transparencia, acceso a la información, políticas de acceso, transparencia proactiva y gobierno abierto</t>
  </si>
  <si>
    <t xml:space="preserve">Verificación del cumplimiento de las políticas y los  programas específicos de trabajo promovidos </t>
  </si>
  <si>
    <t>(Número de sujetos obligados que cumplen con programas o políticas específicas de trabajo) / (Total de sujetos obligados que solicitaron programas o políticas específicos de trabajo) * 100</t>
  </si>
  <si>
    <t>Porcentaje de acciones de supervisión a los sujetos obligados correspondientes</t>
  </si>
  <si>
    <t>Requerimientos a los sujetos obligados correspondientes para asegurar el cumplimiento de la Ley General de Transparencia y Acceso a la Información Pública, la  Ley Federal de Transparencia y Acceso a la Información Pública y demás normativa aplicable</t>
  </si>
  <si>
    <t>(Número de requerimientos enviados/Número de acciones de supervisión identificadas)*100</t>
  </si>
  <si>
    <t>Índice de  seguimiento a obligaciones de transparencia a través del estado de la fecha de actualización de las fracciones del Sistema de Portales de Obligaciones de Transparencia</t>
  </si>
  <si>
    <t>Seguimiento a obligaciones de transparencia a través del estado de la fecha de actualización de las fracciones del Sistema de Portales de Obligaciones de Transparencia (Avisos de Semáforos)</t>
  </si>
  <si>
    <t>(Número de reportes remitidos/Número de reportes programados)*100</t>
  </si>
  <si>
    <t>Porcentaje en la atención de solicitudes dentro de los plazos establecidos en la Ley</t>
  </si>
  <si>
    <t xml:space="preserve"> Vigilancia en la atención de solicitudes dentro de los plazos establecidos en la Ley</t>
  </si>
  <si>
    <t>(Total de solicitudes de información atendidas en tiempo/Total de solicitudes de información atendidas)*100</t>
  </si>
  <si>
    <t>Porcentaje de acciones de verificación sobre la calidad de las respuestas a solicitudes de información de los sujetos obligados correspondientes</t>
  </si>
  <si>
    <t xml:space="preserve">Este resultado mide el desempeño de los sujetos obligados a cargo de la Dirección General de Enlace con Partidos Políticos, Organismos Electorales y Descentralizados, en el cumplimiento de las diversas obligaciones de transparencia. Al ser un indicador nuevo, no se cuenta con línea base, sin embargo podemos observar que, el Índice Global de Desempeño de las Unidades de Transparencia resultó ser la variable más baja. </t>
  </si>
  <si>
    <t xml:space="preserve">Con este indicador conocemos que el desempeño anual de los sujetos obligados a cargo de la Dirección General de Enlace con Partidos Políticos, Organismos Electorales y Descentralizados, tomando en cuenta el 1. Índice Global de Cumplimiento en los Portales de Transparencia, 2. Índice Global de Calidad de las Respuestas Otorgadas en las Solicitudes de Acceso a la Información y 3. Índice Global de Desempeño de las Unidades de Transparencia, fue de un 61.79%. Con este resultado, podemos observar las áreas de oportunidad de los Sujetos Obligados de la Dirección General. Cabe señalar que, al ser un indicador de nueva creación,  no se contaba con información para calcular la línea base. </t>
  </si>
  <si>
    <t>La Dirección General de Enlace, para medir el desempeño de la Dirección de Seguimiento de Cumplimientos, programó dentro de la MIR cinco actividades, las cuales se pueden constatar en este mismo documento. No obstante lo anterior, en el proceso de planeación y definición de las actividades de la MIR sólo se incluyeron cuatro actividades, debiendo ser cinco: 1.1 Verificación del cumplimiento de las políticas y los  programas específicos de trabajo promovidos por el INAI e implementados por los sujetos obligados correspondientes; 1.2 Requerimientos a los sujetos obligados correspondientes para asegurar el cumplimiento de la Ley General de Transparencia y Acceso a la Información Pública, la  Ley Federal de Transparencia y Acceso a la Información Pública y demás normativa aplicable; 1.3 Seguimiento a obligaciones de transparencia a través del estado de la fecha de actualización de las fracciones del Sistema de Portales de Obligaciones de Transparencia (Avisos de Semáforos), 1.4 Vigilancia en la atención de solicitudes dentro de los plazos establecidos en la Ley; 1.5 Verificación de la calidad de la respuesta a las solicitudes de información por parte de los Sujetos Obligados correspondientes). Ahora bien, de las 5 actividades que se llevaron a cabo, sólo la 1.1 se reportó “sin avance”, por tratarse de un programa que requiere más de un año para obtener el cumplimiento de los programas específicos de trabajo de los sujetos obligados como resultado de una promoción y sensibilización en los temas de Transparencia, Acceso a la Información, Políticas de Acceso, Transparencia Proactiva y Gobierno Abierto, ya que primero es necesario que los Sujetos Obligados se encuentren en condiciones para participar en un programa en específico, como es el caso de Gobierno Abierto. Dichos programas, se desarrollan en conjunto con el INAI con el objeto de formalizar su implementación y su consiguiente cumplimiento. Cabe señalar que, se logró la sensibilización de siete Sujetos Obligados a fin de iniciar la promoción, adopción y posible implementación del “Programa de Trabajo para la Implementación de las Políticas de Gobierno Abierto y Transparencia Proactiva” mediante una reunión de trabajo el pasado once de octubre del 2017, existiendo interés por algunos de los sujetos obligados en participar en dicho Programa, como es el caso de CENACE y el IMSS. Hasta el cierre del 4° trimestre, no se concretó el Programa de mérito que pudiera permitir verificar su cumplimiento, aclarando que sólo con el IMSS se está trabajando de forma directa para que se implemente el programa “Modelo Preventivo de Enfermedades Crónicas”, el cual se considera quedará implementado para el Primer Semestre de 2018 bajo el contexto del “Programa de Trabajo para la Implementación de las Políticas de Gobierno Abierto y Transparencia Proactiva”. Además, en el siguiente ejercicio se continuará trabajando para definir la posible participación de otros Sujetos Obligados en el programa. Por último, es importante mencionar que este tipo de programas obedecen más a un proyecto que debe de desarrollarse en conjunto con los Sujetos Obligados, los cuales pueden tener o no las capacidades institucionales para su debida implementación, en otras palabras, la implementación y cumplimiento de estos programas no depende en gran medida del INAI, sino de la voluntad y las capacidades de los sujetos obligados. Por otro lado, respecto de las actividades 1.2, 1.3, 1.4, 1.5 que se han llevado a cabo, se informa que el resultado anual ha sido del 100% de cumplimiento en cada una, como se desprende de este mismo documento.</t>
  </si>
  <si>
    <t>Con este componente, la Dirección General de Enlace con Partidos Políticos, Organismos Electorales y Descentralizados confirma que se cumple de manera aceptable con la meta establecida relacionada con la verificación permanente del cumplimiento de las obligaciones de transparencia y acceso a la información que los Sujetos Obligados deben de atender con oportunidad.</t>
  </si>
  <si>
    <t>En el programa de acompañamiento anual permanente otorgado a los sujetos obligados correspondientes, se realizaron 2068 actividades de acompañamiento de un total de 2145 actividades solicitadas, lo que da como resultado un desempeño de la Dirección de Acompañamiento del 96.41%.</t>
  </si>
  <si>
    <t>Con este componente, la Dirección General de Enlace con Partidos Políticos, Organismos Electorales y Descentralizados confirma que las actividades de acompañamiento en materia de transparencia y acceso a la información, se brindaron con oportunidad a los diferentes Sujetos Obligados, al tener una meta anual alcanzada del 96.41%. Se cumple de manera aceptable con la meta establecida.</t>
  </si>
  <si>
    <t>Derivado de los cambios y mejoras en el Sistema de Portales de Obligaciones de Transparencia, se detectó la necesidad de programar trabajos específicos para promover prácticas exitosas de las obligaciones de transparencia. Por esto, se realizaron dos programas los días 27 y 28 de noviembre para los organismos descentralizados, así como un programa para el estamento electoral el día 11 de diciembre.</t>
  </si>
  <si>
    <t>Se implementaron programas de trabajos específicos con los organismos descentralizados y partidos políticos, con el fin de lograr el fortalecimiento del derecho de acceso a la información y protección de datos personales. Se cumple de manera aceptable con la meta establecida.</t>
  </si>
  <si>
    <t xml:space="preserve">En el año se concretó la firma de 3 convenios y 7 (HRAEI, SAE, IPAB, CONAPRED, CENACE, ASA y SESNA) están en proceso (en revisión por parte de las Unidades de Transparencia, en revisión de las áreas jurídicas correspondientes o en revisión por parte del Titular del Organismo Descentralizado), los cuales no se han formalizado debido a diversas causas, tales como, que en el segundo semestre aconteció el evento del 19 de septiembre de 2017, por lo que se suspendieron determinadas actividades referentes a actos públicos con concentración de un número mayor de personas, lo cual repercutió en la programación original de esta actividad y se tuvo que modificar el programa de trabajo previamente establecido; otra razón de importancia fue que la DGEPPOED se avocó, casi en su totalidad, en la primera fase de la verificación diagnóstica consistente en verificar a 254 sujetos obligados, la cual terminó el pasado 18 de agosto, dando inicio a la segunda fase de este procedimiento con el seguimiento a la atención de las recomendaciones y observaciones realizadas a los sujetos obligados, etapa que concluyó hasta el último día hábil del año 2017. No obstante lo anterior, se considera que podrán celebrarse los convenios restantes durante el primer trimestre de 2018. </t>
  </si>
  <si>
    <t>Durante el año, se realizaron tres firmas de convenios. Con esto, se refleja el grado de institucionalidad de los Sujetos Obligados ante el INAI para implementar acciones de acompañamiento a fin de acatar lo mandatado por los ordenamientos en materia (LGTAIP, LFTAIP, Lineamientos INAI). Cabe señalar que siete firmas de convenio se encuentran en proceso de revisión.</t>
  </si>
  <si>
    <t>Para la meta anual se atendieron 178 de un total de 186 consultas normativas realizadas por las Unidades y los Comités de Transparencia que formularon los Sujetos Obligados correspondientes, distribuyéndose de la siguiente manera:
Primer trimestre se atendieron 117 de 118. 
Segundo trimestre se atendieron 25 de 28.
Tercer trimestre se atendieron 32 de 32.
Cuarto trimestre se atendieron 4 de 8.</t>
  </si>
  <si>
    <t>Con un resultado del 95.70% se puede constatar que la Dirección General de Enlace con Partidos Políticos, Organismos Electorales y Descentralizados tuvo la capacidad de orientar y resolver las distintas consultas normativas realizadas por los diversos Sujetos Obligados. Se cumple de manera aceptable con la meta establecida.</t>
  </si>
  <si>
    <t>Para la meta anual se gestionaron 10 de un total de 10 consultas normativas realizadas por las Unidades y los Comités de Transparencia que formularon los Sujetos Obligados correspondientes, distribuyéndose de la siguiente manera:
Primer trimestre se atendieron 2 de 2. 
Segundo trimestre se atendieron 2 de 2.
Tercer trimestre se atendieron 4 de 4.
Cuarto trimestre se atendieron 2 de 2.</t>
  </si>
  <si>
    <t>Con un resultado del 100%, se observa que la Dirección General de Enlace con Partidos Políticos, Organismos Electorales y Descentralizados tuvo la capacidad de gestionar las consultas normativas realizadas por las Unidades y los Comités de Transparencia de los diversos Sujetos Obligados. Se cumple de manera aceptable con la meta establecida.</t>
  </si>
  <si>
    <t>Para la meta anual se atendieron 1361 de un total de 1430 consultas técnicas realizadas por las Unidades y los Comités de Transparencia que formularon los Sujetos Obligados correspondientes, distribuyéndose de la siguiente manera:
Primer trimestre se atendieron 909 de 950. Segundo trimestre se atendieron 219 de 243.
Tercer trimestre se atendieron 127 de 130.
Cuarto trimestre se atendieron 106 de 107.</t>
  </si>
  <si>
    <t>Con un resultado del 95.17% se puede constatar que la Dirección General de Enlace con Partidos Políticos, Organismos Electorales y Descentralizados tuvo la capacidad de atender y resolver de forma permanente,  las distintas consultas técnicas realizadas por los diversos Sujetos Obligados. Se cumple de manera aceptable con la meta establecida.</t>
  </si>
  <si>
    <t>Para la meta anual se gestionaron 519 de un total de 519 consultas técnicas realizadas por las Unidades y los Comités de Transparencia que formularon los Sujetos Obligados correspondientes, distribuyéndose de la siguiente manera:
Primer trimestre se atendieron 197 de 197. 
Segundo trimestre se atendieron 61 de 61.
Tercer trimestre se atendieron 114 de 114.
Cuarto trimestre se atendieron 147 de 147.</t>
  </si>
  <si>
    <t>Con un resultado del 100% se observa que la Dirección General de Enlace con Partidos Políticos, Organismos Electorales y Descentralizados tuvo la capacidad de gestionar las consultas técnicas realizadas por las Unidades y los Comités de Transparencia de los diversos Sujetos Obligados. Se cumple de manera aceptable con la meta establecida.</t>
  </si>
  <si>
    <t>Derivado de la revisión y replanteamiento de las actividades hecho durante el primer semestre debido al Plan de Austeridad implementado por el INAI en el ejercicio 2017, se realizaron asesorías individuales para promover mejores prácticas orientadas a la transparencia organizacional. En total, para el segundo semestre se atendieron a 46 Unidades de Transparencia de 108 Unidades de Transparencia. Adicionalmente, es necesario mencionar que esta Dirección General realizó las gestiones necesarias a través de los medios que tiene a su alcance a fin de garantizar que el total del Universo de Sujetos Obligados a cargo de la DG asistan a los eventos y/o asesorías a los cuales se les ha convocado, sin embargo, 21 sujetos obligados se encuentran fuera de la Ciudad de México, lo que dificulta su acercamiento, y existen otros casos en los que se evidencia una falta de voluntad para asistir y participar. Derivado de lo anterior, y debido a que el método de cálculo no refleja las actividades de esta Dirección General de Enlace, esta actividad se ha suprimido del reporte de la MIR 2018.</t>
  </si>
  <si>
    <t>A pesar de tener una meta anual alcanzada del 42.59%, la Dirección General de Enlace con Partidos Políticos, Organismos Electorales y Descentralizados hizo la convocatoria a todo el Universo de Sujetos Obligados para asistir a los eventos y asesorías realizadas por esta Dirección General. Esto evidencia la falta de voluntad de algunos Sujetos Obligados para asistir y participar. Cabe señalar que el método de cálculo no refleja las actividades de esta Dirección General, tan es así que ya no se encuentra en la MIR 2018.</t>
  </si>
  <si>
    <t>En el año 2017 se reportó todos los trimestres sin avance toda vez que la actividad se encuentra determinada por las solicitudes de capacitación especializada por parte de la Dirección General de Capacitación; en consecuencia esa dirección no solicito durante el año que se realizara alguna capacitación, no ha realizado dicha solicitud a esta Dirección General.</t>
  </si>
  <si>
    <t>La Dirección General de Capacitación no solicitó impartir capacitaciones especializadas de acuerdo con la detección de necesidades de los Sujetos Obligados a cargo de esta Dirección General.</t>
  </si>
  <si>
    <t xml:space="preserve">Para la meta anual, el pasado 11 de octubre de 2017 se llevó a cabo una reunión sobre el “Programa de Trabajo para la Implementación de las políticas de gobierno abierto y transparencia proactiva” en el cual se realizaron acciones de promoción y sensibilización a los sujetos obligados correspondientes, con la participación de siete Unidades de Transparencia de los siete sujetos obligados convocados. </t>
  </si>
  <si>
    <t>Con esta actividad, la Dirección General de Enlace con Partidos Políticos, Organismos Electorales y Descentralizados confirma que hubo acciones de promoción y sensibilización entre los Sujetos Obligados, respecto a los Programas de trabajo referentes a Políticas de Acceso, Gobierno Abierto y  Transparencia Proactiva, al tener una meta anual  alcanzada del 100%</t>
  </si>
  <si>
    <t xml:space="preserve">Esta actividad se reporta “Sin Avance”, porque aunque se ha estado trabajando con los sujetos obligados en reuniones para ofrecerles el “Programa de Trabajo para la Implementación de las políticas de gobierno abierto y transparencia proactiva” que nos ocupa y existiendo interés por algunos de los sujetos obligados en participar en dicho programa, hasta el cierre del 4to trimestre no se ha establecido el programa de trabajo final que los sujetos obligados deben cumplir, por lo que en el siguiente ejercicio se continuará trabajando para definir los sujetos que participarán en el programa. </t>
  </si>
  <si>
    <t>No obstante que, durante el ejercicio 2017 se promocionaron los programas entre los Sujetos Obligados, con la finalidad de que estos mostraran interés en participar en alguno de ellos. Dichos programas, se desarrollan en conjunto con el INAI con el objeto de formalizar su implementación y su consiguiente cumplimiento, se logró la sensibilización de siete Sujetos Obligados a fin de iniciar la posible ejecución del “Programa de Trabajo para la Implementación de las Políticas de Gobierno Abierto y Transparencia Proactiva” con el IMSS. En el programa Modelo Preventivo de Enfermedades Crónicas”,  el cual se considera quedará implementado para el Primer Semestre de 2018 bajo el contexto del “Programa de Trabajo para la Implementación de las Políticas de Gobierno Abierto y Transparencia Proactiva”. Además, en el siguiente ejercicio se continuará trabajando para definir la posible participación de otros Sujetos Obligados en el programa</t>
  </si>
  <si>
    <t>En la meta anual se enviaron en 531 requerimientos a 531 sujetos obligados, distribuidas: en el 1 trimestre 108 requerimientos a 108 sujetos; el 2 trimestre se reportó sin avance; en el 3 trimestre se enviaron 313 requerimientos a 313 sujetos y finalmente, en el 4 trimestre se enviaron 110 requerimientos a 110 sujetos obligados, lo que nos llevó a tener 531 requerimientos para 531 sujetos obligados. 531/531*100=100%</t>
  </si>
  <si>
    <t>Se cumple la meta establecida de manera aceptable, respecto de requerir a los sujetos obligados correspondientes las aclaraciones sobre el cumplimiento de las obligaciones establecidas en la normatividad o la corrección de prácticas no alineadas a lo establecido en la Ley General de Transparencia y Acceso a la Información Pública, la Ley Federal de Transparencia y Acceso a la Información Pública y demás normativa aplicable.</t>
  </si>
  <si>
    <t>En la meta anual se enviaron en 461 requerimientos a 461 sujetos obligados distribuidas: en el 1 trimestre 97 requerimientos a 97 sujetos; el 2 trimestre se reportó sin avance; en el 3 trimestre se enviaron 254 requerimientos a 254 sujetos, y finalmente en el 4 trimestre se enviaron 110 requerimientos a 110 sujetos obligados lo que nos llevó a tener 531 requerimientos para 461 sujetos obligados. 461/461*100=100%</t>
  </si>
  <si>
    <t xml:space="preserve">Se cumple la meta establecida de manera aceptable para el cumplimientos a las obligaciones de transparencia a través del estado de la fecha de actualización de las fracciones del Sistema de Portales de Obligaciones de Transparencia. </t>
  </si>
  <si>
    <t>En la meta anual se enviaron 14 oficios con 38 solicitudes que están sin atender para 14 sujetos obligados respecto de 38 solicitudes que excedían el término de Ley,  el 1er trimestre se reportó sin avance; en el 2do trimestre se reportaron 3 solicitudes que están sin atender para 3 solicitudes que excedieron el término; en el 3er trimestre se reportaron 3 solicitudes que están sin atender para 3 solicitudes que excedieron el término de Ley y finalmente en el 4to trimestre se reportaron 32 solicitudes que están sin atender para 32 solicitudes que excedieron el término de Ley. 38/38*100=100%</t>
  </si>
  <si>
    <t>Se cumple la meta establecida, respecto de las acciones de vigilancia en la atención de solicitudes dentro de los plazos establecidos en la Ley.</t>
  </si>
  <si>
    <t>Para verificar la calidad de las respuestas, el Instituto realizó una prueba piloto considerando 20 sujetos obligados para identificar las eventuales áreas de oportunidad de los instrumentos que será utilizados en lo sucesivo en esta dimensión. Para el caso de esta Dirección General de Enlace le correspondió verificar cinco sujetos obligados de los veinte mencionados, lo que se tradujo en la revisión de 100 solicitudes de información de las 400 muestreadas</t>
  </si>
  <si>
    <t xml:space="preserve">Se cumple la meta establecida, respecto de las respuestas revisadas en cuanto a su calidad del total de respuestas a revisar determinadas en la muestra elaborada por la Dirección General de Evaluación. </t>
  </si>
  <si>
    <t>330 - Dirección General de Gobierno Abierto y Transparencia</t>
  </si>
  <si>
    <t xml:space="preserve">Índice de Gobierno Abierto </t>
  </si>
  <si>
    <t>Contribuir a promover el pleno ejercicio de los derechos de acceso a la información pública y de protección de datos personales, así como la transparencia y apertura de las instituciones públicas a través de que los órganos garantes y sujetos obligados promuevan la interacción entre las autoridades y la sociedad y generen información y conocimiento público útil.</t>
  </si>
  <si>
    <t>((Subíndice de Transparencia) + (Subíndice de Participación))/2</t>
  </si>
  <si>
    <t>Tasa de variación de la calidad de las políticas y/o prácticas de apertura gubernamental y transparencia proactiva implementadas</t>
  </si>
  <si>
    <t>((Tasa de variación promedio en la calidad de prácticas de gobierno abierto)+(Tasa de variación promedio en la calidad de prácticas de transparencia proactiva))/2</t>
  </si>
  <si>
    <t>Tasa</t>
  </si>
  <si>
    <t>Índice de aplicación de las Políticas de Gobierno Abierto y Transparencia Proactiva</t>
  </si>
  <si>
    <t>Los órganos garantes y sujetos obligados promueven la interacción entre las autoridades y la sociedad, y la  generación de información y conocimiento público útil a través de políticas públicas consistentes.</t>
  </si>
  <si>
    <t>=[((((Número de instituciones con acciones en materia de Gobierno Abierto y/o Transparencia Proactiva) / ((Población Objetivo de la Política de Gobierno Abierto)+ (Población Objetivo de la Política de Transparencia Proactiva))))*(Promedio de calidad de los proyectos de Gobierno Abierto y Transparencia Proactiva)]</t>
  </si>
  <si>
    <t>Porcentaje de instituciones con acciones implementadas de la Política de Gobierno Abierto</t>
  </si>
  <si>
    <t>Política de Gobierno Abierto implementada</t>
  </si>
  <si>
    <t>((Número de instituciones con acciones en materia de Gobierno Abierto) / (Población Objetivo de la Política de Gobierno Abierto)) * 100</t>
  </si>
  <si>
    <t>Porcentaje de instituciones con acciones implementadas de la Política de Transparencia Proactiva y/o de los Lineamientos para determinar los catálogos y publicación de información de interés público; y para la emisión y evaluación de políticas de transparencia proactiva</t>
  </si>
  <si>
    <t>Política de Transparencia Proactiva implementada</t>
  </si>
  <si>
    <t>((Número de instituciones con acciones en materia de transparencia proactiva) / (Población Objetivo de la Política de Transparencia Proactiva))* 100</t>
  </si>
  <si>
    <t>Razón de cumplimiento de las acciones de sensibilización programadas y solicitadas en el periodo en materia de Gobierno Abierto con respecto al año base</t>
  </si>
  <si>
    <t>Sensibilizaciones de las Políticas de Gobierno Abierto y Transparencia Proactiva realizadas</t>
  </si>
  <si>
    <t>(Número de pláticas de sensibilización en gobierno abierto realizadas / (Número de pláticas de sensibilización en gobierno abierto programadas + Número de pláticas de sensibilización de gobierno abierto solicitadas)) / Valor Línea Base</t>
  </si>
  <si>
    <t>Razón</t>
  </si>
  <si>
    <t>Razón de cumplimiento de las acciones de sensibilización programadas y solicitadas en el periodo en materia de Transparencia Proactiva con respecto al año base</t>
  </si>
  <si>
    <t>(Número de pláticas de sensibilización en transparencia proactiva realizadas / (Número de pláticas de sensibilización en transparencia proactiva programadas + Número de pláticas de sensibilización de transparencia proactiva solicitadas)) / Valor Línea Base</t>
  </si>
  <si>
    <t>Razón de atención de las consultas recibidas en el periodo en materia de Gobierno Abierto con respecto al año base</t>
  </si>
  <si>
    <t>Atención de consultas en materia de Gobierno Abierto y Transparencia Proactiva</t>
  </si>
  <si>
    <t>(Número de consultas en materia de Gobierno Abierto atendidas en el periodo / Número de consultas en materia de Gobierno Sbierto programadas de ser recibidas en el periodo) / Valor Línea Base</t>
  </si>
  <si>
    <t>Razón de atención de las consultas recibidas en el periodo en materia de Transparencia Proactiva con respecto al año base</t>
  </si>
  <si>
    <t>(Número de consultas en materia de Transparencia Proactiva atendidas en el periodo / Número de consultas en materia de Transparencia Proactiva programadas de ser recibidas en el periodo) / Valor Línea Base</t>
  </si>
  <si>
    <t>Porcentaje de acciones verificadas del proyecto de gobierno abierto desde lo local.</t>
  </si>
  <si>
    <t>Verificación del cumplimiento de acciones  en materia de Gobierno Abierto y Transparencia Proactiva programadas</t>
  </si>
  <si>
    <t>((Número de acciones de gobierno abierto realizadas por los sujetos obligados en el marco del proyecto de cocreación local verificadas)/(Número de acciones de gobierno abierto realizadas por los sujetos obligados en el marco del proyecto de cocreación local))*100</t>
  </si>
  <si>
    <t>Porcentaje de avance en la generación de los compromisos en los proyectos en materia de gobierno abierto.</t>
  </si>
  <si>
    <t>((Número de proyectos de gobierno abierto con Plan de Acción Local publicado en el periodo) / (Número de proyectos de gobierno abierto))*100</t>
  </si>
  <si>
    <t>Porcentaje de avance en la generación de compromisos y acciones de conocimiento público en los proyectos de gobierno abierto y/o transparencia proactiva.</t>
  </si>
  <si>
    <t>((Número de compromisos en materia de conocimiento público contenidos en los Planes de Acción  Local de gobierno abierto publicados en el periodo + Proyectos de transparencia proactiva con al menos una acción de conocimiento público implementada en el periodo) / Número de proyectos de transparencia proactiva acompañados por la DGGAT) * 100</t>
  </si>
  <si>
    <t>Porcentaje de reportes, guías y herramientas derivadas de las Políticas de Gobierno Abierto y Transparencia Proactiva elaboradas con respecto a las programadas</t>
  </si>
  <si>
    <t>Elaboración de reportes, guías y herramientas programadas derivados de las Políticas de Gobierno Abierto y Transparencia Proactiva</t>
  </si>
  <si>
    <t>((Número de reportes, guías y herramientas sobre gobierno abierto y transparencia proactiva realizadas en el periodo)/(Número de reportes, guías y herramientas sobre gobierno abierto y transparencia proactiva programadas en el periodo))*100</t>
  </si>
  <si>
    <t>Porcentaje de acciones realizadas en el marco de la participación del INAI en la Alianza para el Gobierno Abierto.</t>
  </si>
  <si>
    <t>Participación del INAI  en la Alianza para el Gobierno Abierto (AGA)</t>
  </si>
  <si>
    <t>((Número de acciones realizadas en el marco de la representación del INAI en la Alianza para el Gobierno Abierto) / (Número de acciones programadas en el marco de la participación del INAI en la Alianza para el Gobierno Abierto)) *100</t>
  </si>
  <si>
    <t xml:space="preserve">A partir del análisis realizado a la información generada por el Censo Nacional de Transparencia y Acceso a la Información -fuente básica de información para este indicador- se encuentra una variación promedio de 19.7% en el desarrollo de prácticas de gobierno abierto y transparencia proactiva entre organismos garantes y sujetos obligados del ámbito local. Este excede por 97% la meta programada originalmente. Esta variación se explica ya que al ser una primera medición de este indicador, no se contaba con información suficiente para calibrar la meta. </t>
  </si>
  <si>
    <t>Al ser la primera vez que se levanta este indicador, y no contar con una línea base que permitiera anticipar cómo se comportaría esta medición, al final del año la meta originalmente planteada se excedió en 97%.</t>
  </si>
  <si>
    <t>Al cierre de 2017 se tienen contabilizados 246 sujetos obligados federales y locales atendidos por las políticas de gobierno abierto y transparencia proactiva, y una calidad promedio de los proyectos en ambas materias de 0.5636. Esto llevó a que la meta anual alcanzada para este indicador fuera de 0.4053, apenas debajo de lo programado originalmente. En buena medida, la causa principal que pudiera explicar que no se haya alcanzado la meta a 100% fue la no publicación de un par de Planes de Acción de gobierno abierto que hubieran incrementado la calidad de los proyectos. En buena medida, la publicación de Planes de Acción Local y la instalación de Secretariados Técnicos Locales depende de factores externos a la Dirección General de Gobierno Abierto y Transparencia, tal y como se refleja en los supuestos y riesgos de este indicador.</t>
  </si>
  <si>
    <t>Al tener un ritmo de crecimiento más lento de los ejercicios locales de gobierno abierto durante 2017 tuvo como efecto que no se alcanzara la meta al 100%. Este resultado permitió ajustar metas para 2018, así como las estrategias de acompañamiento y seguimiento en lo local realizadas por la Dirección General.</t>
  </si>
  <si>
    <t>Debido a causas contextuales, especificadas en los supuestos de este indicador, no logró alcanzarse un cumplimiento anual de 100%. De los 124 SO que se buscaban atender durante 2017, solamente se logró cubrir a una población de 118 sujetos obligados. El lanzamiento de un PAL más, o la realización de una jornada de sensibilización en el ámbito federal como parte de la implementación de la Política de Gobierno Abierto hubiera permitido lograr la meta. Sin embargo, la realización de ambas actividades no estuvo directamente sujeta a la competencia de la DGGAT. El resultado de este indicador se complementa con lo expresado en las causas a nivel de propósito: un crecimiento más lento en el desarrollo de los ejercicios locales de gobierno abierto y la implementación un tanto más lenta de las Políticas Nacionales (causas asociadas al interés de los mismos sujetos obligados) impidió alcanzar la meta.</t>
  </si>
  <si>
    <t>Como consecuencia de lo anterior, sólo se logró un avance de 95% con respecto a la meta originalmente programada</t>
  </si>
  <si>
    <t>En materia de transparencia proactiva, se excedió la meta de cobertura programada para este nivel, ya que se atendieron en total 128 sujetos obligados de los órdenes federal y local, en comparación con los 124 originalmente programados. En buena medida, este resultado se explica por la buena acogida que tuvo la convocatoria para reconocer prácticas federales en materia de transparencia proactiva, iniciativa que permitió aproximar a un universo mayor de sujetos obligados a los proyectos y trabajos en la materia que realiza la Dirección General.</t>
  </si>
  <si>
    <t>Como consecuencia de las causas antes expuestas, se logró un avance de 103% con respecto a la meta originalmente programada</t>
  </si>
  <si>
    <t>El resultado de este indicador refleja que se cumplió en tiempo y forma con los compromisos institucionales relacionados con capacitación en materia de gobierno abierto a funcionarios federales, además de que se atendieron las solicitudes de sensibilización realizadas por sujetos obligados federales y locales, así como por organismos garantes locales</t>
  </si>
  <si>
    <t>Como consecuencia de las causas antes expuestas, se logró un cumplimiento de 100% de la meta programada.</t>
  </si>
  <si>
    <t>El resultado de este indicador refleja que se cumplió en tiempo y forma con los compromisos institucionales relacionados con capacitación en materia de transparencia proactiva a funcionarios federales, además de que se atendieron las solicitudes de sensibilización realizadas por sujetos obligados federales y locales, así como por organismos garantes locales</t>
  </si>
  <si>
    <t>El resultado de este indicador refleja que se atendieron en tiempo y forma con las consultas recibidas en materia de gobierno abierto por parte de instituciones federales, sujetos obligados locales y organismos garantes locales. En total se tiene registro de 80 consultas recibidas y respondidas.</t>
  </si>
  <si>
    <t>El resultado de este indicador muestra que se atendieron todos los actos de verificación desarrollados en el marco de la iniciativa Gobierno Abierto Cocreación desde lo Local. Estas acciones de verificación correspondieron a la asistencia a eventos de arranque de los ejercicios, de instalación de Secretariados Técnicos Locales y del lanzamiento de Planes de Acción Local. En total se tiene registro de 28 actividades de verificación.</t>
  </si>
  <si>
    <t>Dados los supuestos y riesgos previstos originalmente, se había programado contar con la publicación de 15 Planes de Acción Local de Gobierno Abierto al cierre de 2017, sin embargo por factores contextuales de orden local -ajenos al trabajo de la DGGAT- el ritmo de crecimiento de los ejercicios locales de Gobierno Abierto fue significativamente más lento, por lo que sólo se logró concretar la publicación de 12 Planes de Acción en el periodo.</t>
  </si>
  <si>
    <t>Como consecuencia de las causas antes expuestas, sólo  se logró un cumplimiento de 73% de la meta programada.</t>
  </si>
  <si>
    <t>El resultado de este indicador refleja la realización correcta de las acciones programadas en materia de conocimiento público durante 2017. Adicionalmente, y como consecuencia del desarrollo de una estrategia más amplia de difusión del Banco de Prácticas para la Apertura Institucional, se realizaron acciones adicionales que impactaron en el resultado final de la meta. En total, se tienen registradas 26 acciones de conocimiento público realizadas durante 2017.</t>
  </si>
  <si>
    <t>Como consecuencia de las causas antes expuestas,  se logró un cumplimiento de 104% de la meta programada.</t>
  </si>
  <si>
    <t>El resultado de este indicador muestra que se realizaron adecuadamente todos los reportes, guías y herramientas en materia de gobierno abierto y transparencia proactiva programadas para 2017. En total se cuenta con un registro de 30 productos de este tipo realizados durante el año.</t>
  </si>
  <si>
    <t>Como consecuencia de las causas antes expuestas,  se logró un cumplimiento de 100% de la meta programada.</t>
  </si>
  <si>
    <t>La principal causa que provocó que no se alcanzara la meta programada para este indicador tiene que ver con el rompimiento del diálogo en el marco del Secretariado Técnico Tripartita de la Alianza para el Gobierno Abierto. Esta situación generó que diversas actividades que rutinariamente se realizan en el marco de este espacio de diálogo no se realizaran durante 2017.</t>
  </si>
  <si>
    <t>Esta situación provocó que la meta sólo tuviera un avance de 48% durante 2017.</t>
  </si>
  <si>
    <t>La meta anual se modifica a 0.42. El ajuste se realiza como consecuencia del ajuste en el valor final del Índice de Gobierno Abierto 2016 (línea base), mediante el oficio INAI/SAI/DGGAT/002/17</t>
  </si>
  <si>
    <t>Se redujo la meta de 81.9% a 72.5%. El ajuste se debe a correcciones de las estimaciones de las poblaciones objetivo, de acuerdo con los resultados generados por la ENAID 2016, el CNTAIP 2016 y la Métrica de Gobierno Abierto 2016. La adecuación se realizó para el segundo y cuarto trimestre.</t>
  </si>
  <si>
    <t>Se redujo la meta de 81.9%  a 72.5%. El ajuste se debe a correcciones de las estimaciones de las poblaciones objetivo, de acuerdo con los resultados generados por la ENAID 2016, el CNTAIP 2016 y la Métrica de Gobierno Abierto 2016.La adecuación se realizó para el segundo y cuarto trimestre.</t>
  </si>
  <si>
    <t>Este ajuste se debe a la adecuación de la fórmula a la línea base 2016. Se adecuó el método de cálculo debido a que el avance de este indicador en los periodos anteriores se reportaron con base en la fórmula establecida en el oficio INAI/SAI/DGGAT/225/17.</t>
  </si>
  <si>
    <t>Se realizó el cambio a una meta constante de 100% para todos los trimestres. Mediante el oficio INAI/CAI/DGGAT/202/17,se realizó el ajuste  a la meta y tipo de meta del indicador, con la finalidad de mejorar la medición del este. La adecuación se realizó para  el Primer, segundo, tercer y cuarto trimestre.</t>
  </si>
  <si>
    <t>310- Dirección General de Políticas de Acceso</t>
  </si>
  <si>
    <t>Porcentaje de implementación de políticas públicas de acceso a la información.</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</si>
  <si>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coordinadas de acceso a la información  de acuerdo a criterios mínimos para su diseño e implementación. </t>
  </si>
  <si>
    <t xml:space="preserve">(Sujetos obligados que implementaron una política pública de acceso a la información diseñada por el INAI / Total de sujetos obligados contemplados para implementar dicha política)*100  </t>
  </si>
  <si>
    <t>Porcentaje de políticas de acceso que cumplen con los Criterios Mínimos y Metodología para el Diseño y Documentación de Políticas, Prácticas y Acciones Orientadas a Mejorar el Acceso a la Información y la Transparencia, en el Marco del Sistema Nacional de Transparencia, establecidos por el INAI.</t>
  </si>
  <si>
    <t>El INAI, los órganos garantes y los sujetos obligados cuentan con políticas de acceso a la información que cumplen con los Criterios Mínimos y Metodología para el Diseño y Documentación de Políticas públicas orientadas a mejorar el Acceso a la Información, en el Marco del Sistema Nacional de Transparencia, establecidos por el INAI.</t>
  </si>
  <si>
    <t>(Número de políticas diseñadas y documentadas que cumplen con los  Criterios Mínimos y Metodología para el Diseño y Documentación de Políticas orientadas a Mejorar el Acceso a la Información y la Transparencia, en el Marco del Sistema Nacional de Transparencia / Total de políticas diseñadas y documentadas en el Catálogo Nacional de Políticas de Acceso)*100</t>
  </si>
  <si>
    <t>Porcentaje de políticas de acceso que usan diagnósticos del INAI</t>
  </si>
  <si>
    <t>Información estadística y diagnósticos sobre el ejercicio y garantía del acceso a la información consultados.</t>
  </si>
  <si>
    <t>(Número total de políticas de acceso implementadas que utilizan diagnósticos del INAI / número total de diagnósticos generados) * 100</t>
  </si>
  <si>
    <t>Porcentaje de políticas de los sujetos obligados asesorados y sensibilizados que son diseñadas y documentadas en el Catálogo de políticas de acceso a la información</t>
  </si>
  <si>
    <t>Políticas de los sujetos obligados asesorados documentadas en el Catálogo de políticas de acceso a la información</t>
  </si>
  <si>
    <t>(Número total de sujetos obligados que diseñaron y documentaron políticas en el catálogo durante el año / número total de sujetos obligados asesorados y sensibilizados durante el año)*100</t>
  </si>
  <si>
    <t>Porcentaje de sesiones de sensibilización sobre formulación e implementación de políticas</t>
  </si>
  <si>
    <t>Sensibilización para la formulación e implementación de políticas de acceso a la información.</t>
  </si>
  <si>
    <t>(Número de sesiones de sensibilización otorgadas / Número de sesiones de sensibilización programadas)*100</t>
  </si>
  <si>
    <t>Porcentaje de asistencias técnicas brindadas por la Dirección General de Políticas de Acceso (DGPA)</t>
  </si>
  <si>
    <t>Otorgamiento de asistencia técnica a los sujetos obligados para la formulación de políticas de acceso a la información.</t>
  </si>
  <si>
    <t>(Número de asistencias técnicas otorgadas / Número de asistencias técnicas solicitadas)*100</t>
  </si>
  <si>
    <t xml:space="preserve">Porcentaje de diagnósticos publicados y promovidos </t>
  </si>
  <si>
    <t>Publicación y promoción de información estadística y diagnósticos sobre el ejercicio y garantía del derecho de acceso a la información</t>
  </si>
  <si>
    <t>(Diagnósticos publicados y promovidos durante el año / Total de diagnósticos programados para su publicación en el año)* 100</t>
  </si>
  <si>
    <t>Porcentaje de avance del Programa de Implementación de Contrataciones Abiertas</t>
  </si>
  <si>
    <t>Implementación del Programa de Contrataciones Abiertas</t>
  </si>
  <si>
    <t>La meta alcanzada de este indicador fue de 25.5%, lo que representa una variación del 155% respecto de la meta programada anual ajustada de 10%, esto debido a que el universo de implementadores de las políticas de acceso a la información Comisiones Abiertas, Transparencia en Publicidad Oficial y Contrataciones Abiertas fue mayor al programado ajustado inicialmente. Es decir, del universo de 47 posibles implementadores 12 sujetos obligados implementaron alguna de dichas políticas. En este sentido, la política de Comisiones abiertas arrojó como resultado a 7 implementadores de un universo de 31 sujetos obligados contemplados. Los implementadores fueron los siguientes:
Instituto de Acceso a la Información Pública y Protección de Datos Personales de Oaxaca
Gobierno del Estado de Chihuahua 
Comisión de Transparencia y Acceso a la Información del Estado de Nuevo León 
Comisión Nacional de Hidrocarburos
Senadora Martha Tagle Martínez 
Gobierno de Quintana Roo 
Instituto Electoral de la Ciudad de México
Por su parte, la política de Transparencia en Publicidad Oficial presentó 4 implementadores de 15 sujetos obligados contemplados para ello, entre los que destacan: 
Gobierno del Estado de Chihuahua
Gobierno del Estado de Quintana Roo
Instituto de Acceso a la Información Pública de Oaxaca
Comisión de Transparencia y Acceso a la Información del Estado de Nuevo León
En tanto, sobre Contrataciones Abiertas, esta política fue implementada por el propio INAI como sujeto obligado.
Lo anterior, plantea el rediseño de la meta establecida para este indicador, para que el porcentaje de implementadores de las políticas de acceso a la información tenga un mayor impacto en la sociedad.</t>
  </si>
  <si>
    <t xml:space="preserve">Considerando que el objetivo era alcanzar una meta ajustada inicial de 10%, la operación resulta más exitosa al grado de que se duplicó la expectativa obteniendo un  25.5%. Lo anterior implica una mejor capacidad organizativa de las actividades de la DGPA para alcanzar los objetivos del indicador y a su vez un replanteamiento del ajuste inicial para la obtención de futuros resultados. </t>
  </si>
  <si>
    <t>El porcentaje de políticas de acceso a la información diseñadas y documentadas en el marco del Sistema Nacional de Transparencia que cumplen con los Criterios Mínimos y Metodología para el Diseño y Documentación de Políticas, y que son documentadas en el Catálogo Nacional de Políticas de Acceso a la Información, representó en el año un porcentaje del 75% al incorporarse 3 de 4 políticas en el Catálogo que cumplen con los Criterios Mínimos señalados. Estas políticas corresponden a Comisiones Abiertas, Transparencia en Publicidad Oficial y Contrataciones Abiertas.</t>
  </si>
  <si>
    <t>La obtención de la meta del 75% de políticas en el Catálogo que contienen criterios mínimos, cumple con el objetivo de la meta planteada de 70% de esas políticas. En este marco,  cumplir con la meta permite difundir las políticas desarrolladas al interior del INAI, maximizando su impacto e incidencia a través del conocimiento que otros actores pueden obtener consultando el Catálogo Nacional de Políticas de Acceso a la Información.</t>
  </si>
  <si>
    <t>Este indicador que mide la utilidad de los diagnósticos realizados por el INAI a través de la identificación del diagnóstico que se reportó como utilizado en las distintas políticas incorporadas en el Catálogo de Políticas de Acceso a la Información, presentó una meta del 75% al señalarse a 3 políticas que cumplen con esta característica de 4 incluidas en el Catálogo. Lo anterior, plantea el rediseño de la meta establecida para este indicador, para que el porcentaje de utilidad de los diagnósticos del INAI en el diseño de políticas de acceso a la información tenga un mayor impacto en la sociedad.</t>
  </si>
  <si>
    <t>La obtención de la meta del 75% de políticas en el Catálogo que utilizan diagnósticos del INAI, cumple de sobre manera con el objetivo de la meta planteada de 30% de esas políticas. Este resultado, indica que es más plausible que las políticas en el Catálogo utilicen los diagnósticos del INAI para su diseño y elaboración. En este marco,  cumplir con la meta permite difundir políticas sustentadas en evidencia diagnóstica en su desarrollo, aprovechando lo realizado en estos productos para tal fin, maximizando  su impacto e incidencia a través del conocimiento  que otros actores pueden obtener consultando el Catálogo Nacional de Políticas.</t>
  </si>
  <si>
    <t>Se estableció el Catálogo Nacional de Políticas de Acceso a la Información, Transparencia y Gobierno Abierto, promoviendo la socialización de los documentos relacionados con el Catálogo Nacional y de los criterios para el diseño y documentación de políticas de acceso a la información, dentro de las instancias conducentes del Sistema Nacional de Transparencia. Sin embargo, aún no se ha iniciado con el pilotaje de la herramienta, mismo que se realizará durante el primer semestre de 2018, en el cual se publicarán políticas del INAI, así como de los primeros usuarios participantes del pilotaje.</t>
  </si>
  <si>
    <t>Estas causas permitirán sentar las bases para una efectiva socialización y ejecución de la Política de Acceso Catálogo Nacional de Políticas en el periodo indicado. Fomentando la incorporación de políticas en el catálogo diseñadas y documentadas por sujetos obligados asesorados y sensibilizados por el INAI.</t>
  </si>
  <si>
    <t>Se llevaron a cabo 36 sesiones de sensibilización para la formulación e implementación de políticas de acceso, las cuales comprendieron durante el primer semestre acciones de sensibilización a: Tribunal Electoral del Poder Judicial de la Federación, Comisión Nacional de Hidrocarburos, Auditoría Superior de la Federación, Instituto Nacional Electoral, Gobierno del Estado de Quintana Roo, Municipio de Solidaridad, Municipio de Cozumel, Gobierno del Estado de Zacatecas, Instituto de Transparencia de Quintana Roo, Grupo Parlamentario de Movimiento Ciudadano de la Cámara de Diputados del Congreso de la Unión, CONEVAL, Secretaría de Economía, Partido Acción Nacional, Coordinación Estatal de Gobierno Abierto de Puebla, Instituto de Transparencia de Oaxaca, Gobierno del Estado de Jalisco, Congreso del Estado de Baja California, Órgano Superior de Fiscalización de Baja California, Municipio de Mexicali y Municipio de Tijuana. Asimismo, se realizaron 4 reuniones de sensibilización dirigidas a los sujetos obligados de cada sector de las Direcciones Generales de Enlace del Instituto.  Por otro lado, también se contabilizan 9 acciones de sensibilización llevadas a cabo dentro del Curso Taller de Políticas de Acceso, impartido en el INAI por la DGPA.
Es importante aclarar que, inicialmente, se habían programado 43 sesiones de sensibilización. Sin embargo, en el transcurso del año 10 sesiones fueron canalizadas inmediatamente a asistencia técnica por sugerencia de los sujetos obligados al momento de la presentación de la herramienta. Por lo anterior, disminuyeron 10 sesiones de sensibilización programadas</t>
  </si>
  <si>
    <t>El cumplir con esta meta, permitirá a los sujetos obligados obtener los conocimientos sobre formulación e implementación de políticas ofrecidos por el INAI. Lo cual se verá reflejado en una ampliación en el universo de sujetos obligados susceptibles de implementar las políticas públicas de acceso ofertadas por el Instituto.</t>
  </si>
  <si>
    <t>Se llevaron a cabo 47 acciones de asistencia técnica para la implementación de políticas de acceso a la Información Comisiones Abiertas, Transparencia en Publicidad Oficial y Contrataciones Abiertas. Al respecto, de la herramienta de política Comisiones Abiertas al momento suman 31 acciones de asistencia técnica de 31 posibles sujetos obligados o implementadores individuales que han manifestado su interés en adherirse a esta iniciativa,  y corresponden a los siguientes: 1. Auditoría Superior de la Federación - ASF; 2. Comisión de Transparencia y Acceso a la Información del Estado de Nuevo León - CTAINL; 3. Comisión Nacional de Hidrocarburos - CNH; 4. Congreso del Estado de Baja California; 5. Gobierno del Estado de Chihuahua; 6. Grupo Parlamentario Movimiento Ciudadano; 7. H. Ayuntamiento de Solidaridad, Quintana Roo; 8. Instituto de Acceso a la Información Pública del Estado de Chiapas - IAIP Chiapas; 9. Instituto de Acceso a la Información Pública y Protección de Datos Personales del Estado de Oaxaca - IAIP Oaxaca; 10. Instituto de Transparencia del Estado de Aguascalientes - ITEA; 11. Instituto de Transparencia y Acceso a la Información Pública del Estado de Baja California - ITAIPBC; 12. Instituto Electoral del Distrito Federal - IEDF; 13. Instituto Electoral y de Participación Ciudadana en Jalisco -IEPC Jalisco; 14. Instituto Estatal Electoral de Baja California - IEEBC; 15. Instituto Nacional de Antropología e Historia - INAH; 16. Instituto Nacional de Migración - INM; 17. Instituto Nacional Electoral - INE; 18. Instituto Veracruzano de Acceso a la Información y Protección de Datos Personales - IVAI; 19. Magistrado Felipe de la Mata Pizaña, Tribunal Electoral del Poder Judicial de la Federación; 20. Magistrado Reyes Rodríguez Mondragón, Tribunal Electoral del Poder Judicial de la Federación; 21. Partido Acción Nacional - PAN; 22. Senador Alejandro Encinas (sólo se cuenta con carta de manifestación de interés); 23. Senadora Martha Tagle Martínez; 24. Senadora Laura Rojas (sin carta de manifestación de interés); 25. Servicio Nacional de Inspección y Certificación de Semillas, SNICS SAGARPA; 26. Universidad Pedagógica Nacional – UPN; 27. Órgano de Fiscalización Superior del Estado de Baja California; 28. Gobierno de Quintana Roo; 29. Poder Judicial del Estado de Baja California; 30. Congreso del Estado de Chihuahua; y 31. Instituto de Transparencia de Tabasco.
En el caso de la Política de Acceso a la Información Transparencia en Publicidad Oficial, al periodo se han llevado a cabo 15 acciones de asistencia técnica para la implementación de esta política de 15 posibles sujetos obligados o implementadores individuales que han manifestado su interés en adherirse,  corresponden a los siguientes: 1. Gobierno del Estado de Chihuahua; 2. Gobierno del Estado de Quintana Roo; 3. Gobierno del Estado de Jalisco; 4. Gobierno del Estado Nuevo León; 5. Gobierno del Estado de Zacatecas; 6. Comisión de Transparencia y Acceso a la Información del Estado de Nuevo León - CTAINL; 7. Instituto de Acceso a la Información Pública de Oaxaca - IAIP Oaxaca; 8. Congreso del Estado de Baja California; 9. H. Ayuntamiento de Cozumel, Quintana Roo; 10. Instituto Nacional de Antropología e Historia - INAH; 11. Instituto Nacional Electoral - INE; 12. Delegación Miguel Hidalgo; 13. Auditoría Superior de la Federación – ASF; 14. Instituto de Transparencia de Tabasco; y 15. Instituto de Transparencia y Acceso a la Información Pública del Estado de Baja California – ITAIPBC.
En el caso de Contrataciones Abiertas, se brindó 1 acción de asistencia técnica al propio INAI como único implementador de la política.</t>
  </si>
  <si>
    <t>Se publicaron dentro de la página del INAI los resultados del Censo Nacional de Transparencia, Acceso a la Información y Protección de Datos Personales 2017 emitido por el INEGI y donde el INAI tuvo una participación activa en la recopilación de los datos del Censo Federal. Asimismo, se llevaron a cabo reuniones de promoción del Censo dentro del INAI con las distintas Direcciones de Enlace dirigidas a su sector de sujetos obligados, así como promoción dentro de las 9 sesiones del Curso Taller de Políticas de Acceso. En el caso del diagnóstico Encuesta Nacional de Acceso a la Información Pública y Protección de Datos Personales ENAID 2016 se publicaron en Libro Electrónico los Resultados de la Encuesta a Nivel Región Centro Occidente. Además, se promocionó el contenido de la Encuesta a diversos sectores de la sociedad, entre ellos el Diplomado en Periodismo de Investigación y Dentro de las sesiones del Curso Taller de Políticas de Acceso impartidos en el INAI. De igual manera, estos instrumentos pueden ser consultados en la página electrónica del INAI y en la correspondiente al INEGI, con en el fin de promover su consulta.</t>
  </si>
  <si>
    <t>El cumplir con esta meta permite proporcionar  los elementos necesarios para el desarrollo de políticas de acceso a  la información basadas en evidencia diagnóstica. Lo cual,  incidirá directamente en el numero de políticas que se incluyan en el Catálogo Nacional que cumplan con este criterio, fomentando la utilización de los diagnósticos en el diseño y documentación de políticas de acceso.</t>
  </si>
  <si>
    <t>Las actividades realizadas como parte del Programa con avance del 100% comprendieron: 
1.- La definición del Estándar de Datos de Contrataciones Abiertas EDCA para México. (Ponderación al logro de la meta del 20%). 
2.- La adaptación de la herramienta de datos de contrataciones de Presidencia de la República, para su aplicación en el INAI. (Ponderación al logro de la meta del 20%).
3.- Captura de la información sobre las contrataciones del INAI del primer trimestre 2017. (Ponderación al logro de la meta del 20%).
4.- Participación en la elaboración del diagnóstico sobre el Sistema Electrónico de Compras Públicas COMPRANET de la Secretaría de la Función Pública. (Ponderación al logro de la meta del 5%).
5.- Mapeo de la relación normativa del Estándar con las obligaciones de transparencia establecidas en la Ley, para su homologación. (Ponderación al logro de la meta del 5%).
6.- Desarrollar, en colaboración con OCP, las extensiones del EDCA necesarias para el INAI. (Ponderación al logro de la meta del 5%).
7.- Presentación pública de la herramienta y los contratos del INAI de 2017. (Ponderación al logro de la meta del 5%).
8.- Dar capacitación a las UA's sobre cómo utilizar la herramienta para capturar los procedimientos de contratación del INAI. (Ponderación al logro de la meta del 5%).
En tanto, las actividades que presentaron un avance del 50% en su desarrollo fueron:
9.-Coordinar el Grupo de Trabajo sobre Contrataciones Abiertas MX. (Ponderación al logro de la meta del 5%).
10.- Desarrollo de un plan estratégico para alcanzar la interoperabilidad y complementariedad entre Contrataciones Abiertas MX, GD-MX y PNT (a través del EDCA-MX) como precursor al plan para la interoperabilidad entre el futuro CompraNet y la PNT. (Ponderación al logro de la meta del 5%).
Por su parte, la actividad que no presentó ningún avance fue:
11.- Coordinar reunión de trabajo para presentar el proyecto Contrataciones Abiertas en el marco de la Red para la Integridad "Identificación de las mejores prácticas de acceso a la información y transparencia". (Ponderación al logro de la meta del 5%).
Cabe destacar, que para el segundo semestre de 2017, la DGPA realizó un proceso de análisis de las metas por política pública para elaborar un programa específico que diera atención al seguimiento de las mismas. Es por ello que el 11 de julio de 2017 se presentó el Programa Específico de Políticas de Acceso (PEPA) 2017 que fue desarrollado en colaboración con cada una de las unidades administrativas involucradas en la implementación de estas políticas. En el caso de Contrataciones Abiertas, se agregaron diversas actividades cuyos responsables fueron diversas unidades administrativas como se muestra a continuación:
Asimismo, el PEPA subdivide el cumplimiento de la actividad 3 “Captura de la información sobre las contrataciones del INAI del primer trimestre 2017” dentro de las 25 unidades administrativas responsables de su ejecución.
Con lo anterior, la suma total de las actividades programadas en el PEPA ascienden a 34, de las cuales se cumplieron 31, teniendo un cumplimiento total anual de 91.18%, lo cual es coincidente con las acciones señaladas en el Indicador de la MIR. Esto es relevante, ya que el desarrollo de las actividades en el PEPA soportan los resultados alcanzados en el desglose de las actividades para el cumplimiento de la meta MIR.</t>
  </si>
  <si>
    <t>En cuanto al efecto de este Indicador; para el segundo semestre y derivado de un proceso de análisis de las metas por política pública, en el caso de Contrataciones Abiertas, se elaboró un programa específico que diera atención al seguimiento de las mismas. Es por ello que el 11 de julio de 2017 se presentó el Programa Específico de Políticas de Acceso (PEPA) 2017 que fue desarrollado en colaboración con cada una de las unidades administrativas involucradas en la implementación de esta y otras políticas. En el caso de Contrataciones Abiertas, se agregaron diversas actividades cuyos responsables fueron diversas unidades administrativas como se muestra a continuación:
Se subdividió el cumplimiento de la actividad 3 “Captura de la información sobre las contrataciones del INAI del primer trimestre 2017” dentro de las 25 unidades administrativas responsables de su ejecución.
Con lo anterior, la suma total de las actividades programadas en el PEPA ascienden a 34, de las cuales se cumplieron 31, teniendo un cumplimiento total anual de 91.18%, lo cual es coincidente con las acciones señaladas en el Indicador de la MIR. Esto es relevante, ya que el desarrollo de las actividades en el PEPA soportan los resultados alcanzados en el desglose de las actividades para el cumplimiento de la meta MIR.</t>
  </si>
  <si>
    <t>La implementación del catálogo nacional de políticas está prevista a finales del primer semestre de 2017. La socialización de este herramienta en el marco del SNT permitirá denotar la implementación de políticas públicas de acceso a la información.</t>
  </si>
  <si>
    <t>Porcentaje de avance en los pagos por proyectos de inmuebles</t>
  </si>
  <si>
    <t>Este indicador tiene el propósito de evaluar la realización y el avance en el pago por proyectos de inmuebles del INAI conforme a lo programado.</t>
  </si>
  <si>
    <t>AF=(pago realizado/pago programado)*100</t>
  </si>
  <si>
    <t>Semestral</t>
  </si>
  <si>
    <t>Enero - Diciembre 2017</t>
  </si>
  <si>
    <t>Instituto Nacional de Transparencia, Acceso a la Información y Protección de Datos Personales</t>
  </si>
  <si>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</si>
  <si>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</si>
  <si>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 xml:space="preserve"> Dirección General de Enlace con Autoridades Laborales, Sindicatos, Universidades, Personas Físicas y Morales</t>
  </si>
  <si>
    <t>Dirección General de Enlace con Partidos Políticos, Organismos Electorales y Descentralizados</t>
  </si>
  <si>
    <t>Dirección General de Enlace con Organismos Públicos Autónomos, Empresas Paraestatales, Entidades Financieras, Fondos y Fideicomisos</t>
  </si>
  <si>
    <t xml:space="preserve"> Dirección General de Comunicación Social y Difusión</t>
  </si>
  <si>
    <t>Dirección General de Gestión de Información y Estudios</t>
  </si>
  <si>
    <t>Dirección General de Capacitación</t>
  </si>
  <si>
    <t>Dirección General de Promoción y Vinculación con la Sociedad</t>
  </si>
  <si>
    <t>Derivado de la Política monetaria dictada por el Banco de México, respecto de las tasas de interés, el monto de los pagos se vio incrementado de manera importante ya que el porcentaje de interés del mes de febrero de 2017 fue del 6.11%, para el mes de julio de 2017 del 7.15% y al cierre del ejercicio 2017 fue 7.375%.</t>
  </si>
  <si>
    <t>Esto provocó que las rentas se incrementaran en un millón de pesos en promedio mensual, al pasar de 4.8 millones de pesos en febrero de 2017 a 5.8 millones de pesos en julio de 2017, resultando un presupuesto ejercido de 58.5 millones de pesos al cierre de 2017, es decir 21.9% mayor al presupuestado originalmente de 48 millones de pesos.</t>
  </si>
  <si>
    <t>180 - Dirección General de Planeación y Desempeño Institucional</t>
  </si>
  <si>
    <t>Contribuir a impulsar el desempeño organizacional y promover un modelo institucional de servicio público orientado a resultados con un enfoque de derechos humanos y perspectiva de género mediante una política institucional orientada al logro de objetivos estratégicos.</t>
  </si>
  <si>
    <t>Porcentaje de cumplimiento de los indicadores estratégicos</t>
  </si>
  <si>
    <t xml:space="preserve">El INAI conduce su desempeño a partir de una política institucional orientada al logro de los objetivos estratégicos   </t>
  </si>
  <si>
    <t>(Número de indicadores estratégicos que cumplen o superan su meta/ total de indicadores estratégicos del INAI a reportar en el año)*100</t>
  </si>
  <si>
    <t>Valoración del Desempeño de la Unidades Administrativas del Instituto Nacional de Transparencia, Acceso a la Información y Protección de Datos Personales</t>
  </si>
  <si>
    <t>1. Sistema de Evaluación del Desempeño Institucional (SEDI) implementado</t>
  </si>
  <si>
    <t xml:space="preserve">Sumatoria de Unidades Administrativas con una Valoración del Desempeño en rango satisfactorio o superior </t>
  </si>
  <si>
    <t>Suma</t>
  </si>
  <si>
    <t>Porcentaje de acciones implementadas para la incorporación de la perspectiva de derechos humanos, género, igualdad y no discriminación de forma trasversal en el Instituto.</t>
  </si>
  <si>
    <t xml:space="preserve">2.Estrategia de transversalización de derechos humanos, igualdad y género implementada
</t>
  </si>
  <si>
    <t>(Número de acciones implementadas / Número de acciones programadas) * 100</t>
  </si>
  <si>
    <t>Porcentaje de Matriz de Indicadores para Resultados valoradas en rango de calidad aceptable</t>
  </si>
  <si>
    <t xml:space="preserve">1.1 Valoración de las Matriz de Indicadores para Resultados de cada Unidad Administrativa </t>
  </si>
  <si>
    <t>(Número de Matriz de Indicadores para Resultados valoradas en rango de calidad "aceptable" / Total de Matriz de Indicadores para Resultados del Instituto) * 100</t>
  </si>
  <si>
    <t>Porcentaje de avance de las actividades de gestión del Programa Anual de Evaluación del Desempeño del INAI</t>
  </si>
  <si>
    <t>1.2 Gestión de instrumentos de evaluación del desempeño institucional</t>
  </si>
  <si>
    <t>(Avance en la ejecución del Programa Anual de Evaluación del Desempeño / Avance programado) * 100</t>
  </si>
  <si>
    <t>Porcentaje de recomendaciones integradas en acuerdos de mejora de desempeño institucional</t>
  </si>
  <si>
    <t>1.3 Implementación de mecanismo de mejora de desempeño institucional</t>
  </si>
  <si>
    <t>(Recomendaciones incorporadas en programas de trabajo de mejora de las Unidades Administrativas / Recomendaciones emitidas) * 100</t>
  </si>
  <si>
    <t>Porcentaje de atención de las asesorías solicitadas</t>
  </si>
  <si>
    <t>1.4 Asesorías sobre planeación y seguimiento institucional</t>
  </si>
  <si>
    <t xml:space="preserve">(Número de solicitudes de asesoría atendidas / Número de solicitudes de asesoría) * 100 </t>
  </si>
  <si>
    <t>Promedio de tiempo de elaboración de reportes trimestrales</t>
  </si>
  <si>
    <t>1.5 Seguimiento a los instrumentos de planeación y seguimiento institucional</t>
  </si>
  <si>
    <t>(Días para la elaboración del reporte trimestral 1+ días para la elaboración del reporte trimestral 2 + días para la elaboración del reporte trimestral 3 + días para la elaboración del reporte trimestral 4) / 4</t>
  </si>
  <si>
    <t xml:space="preserve">Porcentaje de indicadores modificados </t>
  </si>
  <si>
    <t>(Número de indicadores modificados / Total de indicadores de las Matrices de Indicadores para Resultados) * 100</t>
  </si>
  <si>
    <t>Porcentaje de atención de las recomendaciones de mejora</t>
  </si>
  <si>
    <t>1.6 Validación de recomendaciones de mejora atendidas por las Unidades Administrativas</t>
  </si>
  <si>
    <t xml:space="preserve">(Número de recomendaciones de mejora atendidas/ Número de recomendaciones de mejora emitidas) * 100 </t>
  </si>
  <si>
    <t>Gestión -Eficacia-Anual</t>
  </si>
  <si>
    <t xml:space="preserve">Porcentaje de personal sensibilizado </t>
  </si>
  <si>
    <t>2.1. Instrumentar la estrategia de formación en materia de derechos humanos, igualdad, género y no discriminación, dirigida a las y los servidores públicos del Instituto, para crear capacidades de incorporación de la perspectiva de derechos humanos y de género en las políticas públicas del Instituto.</t>
  </si>
  <si>
    <t>(Número de personas sensibilizadas / Total de plantilla de personal) * 100</t>
  </si>
  <si>
    <t>Porcentaje de personal con calificación satisfactoria</t>
  </si>
  <si>
    <t>(Número de personas con calificación satisfactoria / Total de personas sensibilizadas) * 100</t>
  </si>
  <si>
    <t>Gestión-Calidad-Semestral</t>
  </si>
  <si>
    <t>Porcentaje de avance en la generación de materiales para difundir conocimiento</t>
  </si>
  <si>
    <t>2. 2 Instrumentar la estrategia de difusión dirigida a las y los servidores públicos del Instituto que incorpore los principios de igualdad, perspectiva de género, derechos humanos, inclusión y no discriminación.</t>
  </si>
  <si>
    <t>(Número de materiales de conocimiento generados / Número de materiales de conocimiento programados al trimestre) * 100</t>
  </si>
  <si>
    <t>Porcentaje de avance en el asesoramiento a las Unidades Administrativas u organismos garantes para incorporar el enfoque de derechos humanos, género, igualdad y no discriminación</t>
  </si>
  <si>
    <t>2.3 Promover prácticas, modificaciones y acciones para garantizar los derechos de acceso a la información y protección de datos personales a todas las personas en igualdad de condiciones y sin discriminación</t>
  </si>
  <si>
    <t>(número de asesorías brindadas/número de asesorías programadas)*100</t>
  </si>
  <si>
    <t>La meta planteada para este indicador fue superada debido a que el avance realizado al periodo fue de 53 indicadores estratégicos que cumplen o supera su meta y se tenía previsto que fueran 49.</t>
  </si>
  <si>
    <t>Los indicadores estratégicos muestran la contribución que tienen las acciones de las Unidades Administrativas en el logro de los Objetivos del Instituto. El efecto de que 76.81% de los indicadores estratégicos del INAI cumplan o superen la meta programada es que, en su mayoría, las acciones realizadas por las UA's inciden en la consecución de los Objetivos Estratégicos y, por lo tanto, en el cumplimiento de la misión Institucional.</t>
  </si>
  <si>
    <t>Se presentaron dos factores determinantes en el desempeño de las Unidades Administrativas: ejercicio presupuestario y gestión eficaz. En materia de ejercicio presupuestal, la mayoría de las áreas presentaron variaciones importantes en los recursos ejercidos con respecto a los originalmente presupuestados, incluso al eliminar el efecto de distintas afectaciones presupuestarias relacionadas con eventos coyunturales. Asimismo, en materia de cumplimiento de metas a nivel componente, poco menos de la tercera parte de éstos se ubicó en estado crítico por rebasar la meta de manera considerable, lo que se explica en cierta medida debido a que varios de estos indicadores no contaron un valor de línea base y por lo tanto no se contó con una referencia para el establecimiento de la meta programada. 
Ante los nuevos retos que enfrentan las instituciones en el marco de los Objetivos de Desarrollo Sostenible con respecto a eficacia y rendición de cuentas, para el año 2017, se buscó fortalecer la metodología de valoración del desempeño de las Unidades Administrativas con objeto de considerar elementos adicionales en el desempeño de las áreas. De esta forma, la metodología robusteció el elemento de ejercicio del gasto congruente con resultados al medir la capacidad de cada Unidad Administrativa para alcanzar su meta de propósito con los recursos presupuestados y la comparación entre la planeación y el ejercicio presupuestarios. Como resultado se tiene que 10 Unidades Administrativas obtuvieron una valoración en rango satisfactorio o superior y 15 se ubicaron en un rango regular.</t>
  </si>
  <si>
    <t>Contar con una metodología más robusta permitió detectar que retos enfrenta cada Unidad Administrativa en materia de planeación presupuestaria y programación de metas.  Toda vez que se analizaron los factores que propiciaron el no obtener una valoración en rango satisfactorio o superior, se determinó fortalecer el ciclo de mejora de la MIR, a fin de resarcir el rezago reflejado en el cumplimiento de la meta. Al respecto, se diseñarán planes de acción para la mejora del desempeño institucional atendiendo las necesidades específicas de las Unidades Administrativas. Lo anterior se espera permita corregir las deficiencias en los factores que impidieron no obtener una valoración en rango satisfactorio o superior.</t>
  </si>
  <si>
    <t>La DDHIG logró el cumplimiento de la meta programada anual, al haber realizado las siguientes acciones que contribuyen a incorporar, de forma transversal, el enfoque de derechos humanos, género, igualdad y no discriminación en el quehacer del Instituto: en junio de 2017, se organizó el Foro titulado "Transparencia y acceso a la información, poder ciudadano para los derechos humanos y la igualdad" en el Auditorio Alonso Lujambio del Instituto; la inclusión de la perspectiva de género en diversos documentos del INAI; se instrumentó la estrategia de difusión a través del Boletín Interno Semanal de Información Estratégica de la Dirección General de Comunicación Social y Difusión, de la Intranet y del correo electrónico institucional; se realizó la contratación del desarrollo e impartición de tres talleres al personal de la Institución sobre comunicación incluyente, planeación con perspectiva de género y espacios libres de violencia, y se brindó apoyo a Unidades Administrativas u organismos garantes para incorporar el enfoque de derechos humanos, género, igualdad y no discriminación en sus actividades.</t>
  </si>
  <si>
    <t>Se transversaliza la perspectiva de derechos humanos, igualdad y género en diversas acciones institucionales, para avanzar en la eliminación de cualquier forma de discriminación.</t>
  </si>
  <si>
    <t xml:space="preserve">La calidad de las MIR de las Unidades Administrativas presenta mejoras significativas respecto al año anterior; al cierre del presente ejercicio 24 de las 26 MIR fueron valoradas en un rango aceptable, mientras que en 2016 solo 19 de las 26 fueron valoradas en este rango. </t>
  </si>
  <si>
    <t xml:space="preserve">A tres años de la implementación del Sistema de Evaluación del Desempeño del Instituto se observa la maduración del mismo al grado que el 92% de las MIR´s han sido evaluadas en rango aceptable. Lo anterior da pie a nuevos retos que contribuirán al ciclo de mejora continua de la gestión de las Unidades Administrativas </t>
  </si>
  <si>
    <t>Al cierre del ejercicio se cumplieron a cabalidad las 16 actividades que integran el Programa Anual de Evaluación, cumpliendo al 100% con la meta programada.</t>
  </si>
  <si>
    <t xml:space="preserve">La implementación de los mecanismos de evaluación considerados en el Programa Anual de Evaluación permitió la detección de áreas de oportunidad, mismas que contribuyeron al ciclo de mejora continua de la gestión y estas a la vez servirán como punto de partida para la implementación de nuevas acciones para el siguiente ejercicio fiscal. Con lo anterior, se contribuye al fortalecimiento del desempeño institucional de las Unidades Administrativas del Instituto. </t>
  </si>
  <si>
    <t>La implementación de los diversos mecanismos de evaluación aplicados durante el presente ejercicio fiscal dio origen a la emisión de recomendaciones de mejora. Dichas recomendaciones fueron atendidas de manera prioritaria y su atención no requirió de un esfuerzo mayor a cuatro semanas. Es por ello que el indicador se reporta SIN AVANCE debido a que no surgió la necesidad de promover el establecimiento de programas de trabajo.</t>
  </si>
  <si>
    <t xml:space="preserve">El establecimiento de programas de trabajo específicos permite atender las áreas de oportunidad  robustas detectadas derivado de la implementación de los diferentes mecanismos de evaluación </t>
  </si>
  <si>
    <t>En el primer trimestre del año, se solicitaron tres asesorías, una por la DGNC en la que se revisó el indicador de propósito de su MIR. Las otras dos, las solicitó la DGEPPEOD para revisar algunos indicadores de su MIR y para hacer modificaciones en ésta. 
Durante el segundo trimestre de 2017, se solicitaron dos asesorías por parte de la DGEPLJ, en la primera realizada el 13 de junio se resolvieron dudas generales de la metodología de la MIR. La segunda asesoría fue para tratar temas específicos y prácticos de la MIR de la DGPLJ y se realizó el 21 de junio. 
En el tercer trimestre, unicamente se solicitó una asesoría por parte de la DGGIE para tratar temas de la MIR 2018 de dicha dirección. 
Finalmente, en el último trimestre de 2017 se realizaron 26 reuniones, 14 de las culaes fueron reuniones solicitadas por diversas Unidades Administrativas para la actualización de su MIR 2018. Asimismo, se solicitó una reunión para la presentación del PAT 2018 y algunos cambios incorporados a los reportes trimestrales de seguimiento. Además, se realizaron 11 reuniones para atender las opiniones del Consejo Consultivo sobre el Proyecto de Programa Institucional 2017-2020.</t>
  </si>
  <si>
    <t xml:space="preserve">La atención de asesorías a diversas Unidades Administrativas (UA) del Instituto, en las que se abordan temas relacionados con la planeación y el desempeño institucional, permiten consolidar el modelo de Desempeño del INAI puesto que las UA resuelven dudas metodológicas de la conformación de su Matriz de Indicadores para Resultados (MIR) y del avance y programación de sus metas. </t>
  </si>
  <si>
    <t>El promedio de días naturales que fueron empleados por la DGPDI para enviar los anexos "Avance en los indicadores de desempeño de los Programas aprobados en el Presupuesto de Egresos de la Federación para el Ejercicio Fiscal 2017" de los Informes Trimestrales sobre la Situación Económica, las Finanzas Públicas y la Deuda Pública a la Secretaría de Hacienda y Crédito Público fue 9.25. Este es 7.5% inferior a la meta rogramada que eran 10 días. Los días empleados para elaborar los reportes trimestrales de 2017 son los siguientes: 5 en el primer trimestre; 13 en el segundo trimestre; 11 en el tercer trimestre; y 8 en el cuarto trimestre. Finalmente, existe una variación de 0.25 días en el Realizado al Periodo entre el reporte del cuarto trimestre y Cuenta Pública debido a que para el cuarto trimestre sólo se emplearon 8 días naturales en lugar de los 9 que se habían considerado en el cálculo del indicador.</t>
  </si>
  <si>
    <t>La DGPDI estableció un límite máximo de días naturales para realizar la entrega del avance de los indicadores de resultados de los Programas aprobados en el Presupuesto de Egresos de la Federación. Al emplear menos tiempo, en promedio, para elaborar los reportes trimestrales que por Ley deben entregarse, el Instituto muestra mayor eficiencia en el cumplimiento de las obligaciones que emanan de la LFPRH.</t>
  </si>
  <si>
    <t>Durante el año, se modificaron los indicadores en la siguiente distribución: 16 de Fin, 13 de Propósito, 26 de Componente y 66 de Actividad. La mayoría de los cambios que solicitaron las UA's son en Metas, Métodos de cálculo, Definiciones de indicadores y Descripciones de variables. Estas peticiones se realizaron con el objetivo de mejorar la medición del avance de los objetivos y plantear metas alcanzables y retadoras.</t>
  </si>
  <si>
    <t>Las modificaciones realizadas, por las Direcciones Generales del Instituto, en los indicadores del desempeño de las MIR fueron para mejorar la medición del avance de los objetivos y plantear metas alcanzables y retadoras. Estos cambios enriquecen las matrices de indicadores de resultados de las unidades administrativas y el Sistema de Evaluación del Desempeño del Instituto.</t>
  </si>
  <si>
    <t xml:space="preserve">La implementación de los diferentes mecanismos de evaluación dio origen a la emisión de 200 recomendaciones de mejora acordadas; de las cuales, 195 fueron atendidas en su totalidad por lo que fue superada la meta programada para este indicador.   Las 5 recomendaciones restantes fueron parcialmente atendidas y se seguirá impulsando su cumplimiento en las mesas técnicas de desempeño 2018. </t>
  </si>
  <si>
    <t xml:space="preserve">La atención de las recomendaciones de mejora acordadas permitió incrementar considerablemente la calidad de la MIR de las Unidades Administrativas, lo que se ve claramente reflejado en el resultado obtenido en la valoración de la calidad de dicho instrumento.  </t>
  </si>
  <si>
    <t xml:space="preserve">En el primer semestre del año no se avanzó en la meta de este indicador, puesto que se estaban realizando las gestiones para su contratación. En octubre de 2017, se adjudicó la contratación del desarrollo e impartición de tres talleres al personal del Instituto: comunicación incluyente, planeación con perspectiva de género y espacios libres de violencia. Se contó con la participación de 163 personas en dichos talleres, lo que representa el 22.73% del total de plazas ocupadas al 31 de diciembre de 2017. Por tanto, no se logró cumplir la meta programada del 33%, ya que varias personas que en un principio fueron designadas por las y los titulares de sus áreas, no asistieron a los talleres de referencia por sus cargas laborales y en otros casos, por cuestiones de salud. En lo subsecuente, para atender esta área de oportunidad, se puntualizará a las Unidades Administrativas que antes de designar a las personas de su adscripción para tal efecto, contemplen las cargas laborales.  </t>
  </si>
  <si>
    <t>El personal del Instituto muestra interés en participar en las actividades de sensibilización que realiza la DDHIG; sin embargo, por cuestiones de salud o por sus cargas laborales, algunas personas no pudieron asistir a los talleres de referencia. Además, las y los servidores públicos asistentes cuentan con información para propiciar un cambio cultural a favor de la igualdad y promover el enfoque de no discriminación en el quehacer institucional.</t>
  </si>
  <si>
    <t>En el primer semestre del año no se avanzó en la meta de este indicador, puesto que se estaban realizando las gestiones para su contratación. En octubre de 2017, se adjudicó la contratación del desarrollo e impartición de tres talleres al personal del Instituto: comunicación incluyente, planeación con perspectiva de género y espacios libres de violencia. Se contó con la participación de 163 personas en dichos talleres. De las 163 personas que asistieron, sólo 76 obtuvieron una calificación satisfactoria (46.62%). Por consiguiente, no se cumplió con la meta programada. Para atender esta área de oportunidad, se observa la necesidad de continuar reforzando los conocimientos en estas materias, con más talleres de mayor duración; ya que es importante señalar que si bien la generalidad de las y los participantes quedaron satisfechos con los talleres,  algunas personas participantes señalaron en su respectiva encuesta de satisfacción, que se requiere de mayor tiempo para profundizar en los temas, puesto que son de suma importancia.</t>
  </si>
  <si>
    <t>Las personas asistentes conocen y comprenden los conceptos relacionados con la igualdad y el género, así como su uso para el análisis y el desarrollo de acciones relacionadas con su quehacer institucional; no obstante, se continuará reforzando los conocimientos en estas materias.</t>
  </si>
  <si>
    <t>La DDHIG publicó electrónicamente diversos materiales de conocimiento en materia de derechos humanos, igualdad, género, entre otras, a efecto de sensibilizar y formar al personal del Instituto. Dichas publicaciones se difundieron a través del Boletín Estratégico de Difusión Semanal de la Dirección General de Comunicación Social y Difusión, de la Intranet del Instituto y por correo electrónico al personal del INAI. Resulta importante destacar que la DDHIG consideró conveniente difundir materiales adicionales, con la finalidad de fortalecer el conocimiento de las y los servidores públicos en la materia; asimismo, para difundir actividades específicas en contra de la violencia de género; o bien, en atención a solicitudes especiales de personal del Instituto, dervado de necesidades detectadas.</t>
  </si>
  <si>
    <t>Se proporcionan herramientas al personal del Instituto para el análisis y el desarrollo de acciones para la transparencia y el acceso a la información con perspectiva de igualdad y género.</t>
  </si>
  <si>
    <t>La DDHIG brindó en el año las siguientes asesorías con la finalidad de promover prácticas, modificaciones y acciones para garantizar los derechos de acceso a la información y protección de datos personales, a todas las personas en igualdad de condiciones y sin discriminación: la DDHIG apoyó a la Comisión de Derechos Humanos, Equidad de Género e Inclusión Social del Sistema Nacional de Transparencia, Acceso a la Información Pública y Protección de Datos Personales, en la elaboración de la herramienta diagnóstica a que hace referencia los Criterios de Accesibilidad emitidos por el citado Sistema Nacional el 04 de mayo de 2016, a fin de brindar material de apoyo y una guía para los sujetos obligados, en el cumplimiento de los señalados Criterios, así como para homologar la presentación de la información al respecto; de igual forma, la DDHIG brindó asesoría a personal de las direcciones generales de enlace con los sujetos obligados, relativa a la herramienta diagnóstica de los Criterios de Accesibilidad; además, apoyó a la Unidad de Transparencia y al Centro de Atención a la Sociedad del INAI, en la elaboración del diagnóstico establecido en los referidos Criterios, y auxilió a la Comisión de Derechos Humanos, Equidad de Género e Inclusión Social del Sistema Nacional de Transparencia, en la elaboración del proyecto relativo a los lineamientos para incorporar la perspectiva de género en la publicación de las obligaciones de transparencia que establece la Ley General de Transparencia y Acceso a la Información Pública.</t>
  </si>
  <si>
    <t>Se promueven prácticas y acciones para garantizar los derechos humanos de acceso a la información y de protección de datos personales a todas las personas, en igualdad de condiciones y sin discriminación.</t>
  </si>
  <si>
    <t>Derivado del ejercicio de obtención de líneas base y su comparación con las metas del 2017 se modifica la meta programada anual de este indicador. La meta pasa de 2 a 3</t>
  </si>
  <si>
    <t xml:space="preserve">En 2016 se integró a la MIR  de la DGPDI la actividad  “Implementación de mecanismo de mejora de desempeño institucional”; por tratarse de un proceso que implementamos con variantes respecto al año anterior y cuyos resultados mediríamos por primera vez se estableció una meta anual del 60% para su indicador (“Porcentaje de recomendaciones integradas en acuerdos de mejora de desempeño institucional”). Debido que al momento de la elaboración de la MIR 2017, aún no contábamos con los resultados de la medición, la meta para 2017 se estableció en 65%. Al cierre de 2016 pudimos observar que  las Unidades Administrativas mostraron una excelente disposición para establecer programas de trabajo derivados de las recomendaciones de mejora por lo que la meta alcanzada fue del 100%; razón por la cual consideramos pertinente realizar un ajuste a la meta del indicador en comento para el ejercicio 2017,  del 65% al 100%.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</si>
</sst>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_€"/>
    <numFmt numFmtId="174" formatCode="#,##0.00_ ;[Red]\-#,##0.00\ "/>
    <numFmt numFmtId="175" formatCode="#,##0.0"/>
    <numFmt numFmtId="176" formatCode="0.0%"/>
  </numFmts>
  <fonts count="95">
    <font>
      <sz val="11"/>
      <color theme="1"/>
      <name val="Calibri"/>
      <family val="2"/>
    </font>
    <font>
      <sz val="11"/>
      <color indexed="8"/>
      <name val="Calibri"/>
      <family val="2"/>
    </font>
    <font>
      <sz val="22"/>
      <color indexed="8"/>
      <name val="Soberana Sans Light"/>
      <family val="3"/>
    </font>
    <font>
      <sz val="10"/>
      <name val="Soberana Sans"/>
      <family val="3"/>
    </font>
    <font>
      <sz val="22"/>
      <color indexed="8"/>
      <name val="Soberana Sans"/>
      <family val="3"/>
    </font>
    <font>
      <sz val="9"/>
      <color indexed="9"/>
      <name val="Soberana Sans"/>
      <family val="3"/>
    </font>
    <font>
      <b/>
      <sz val="9"/>
      <color indexed="9"/>
      <name val="Soberana Sans"/>
      <family val="3"/>
    </font>
    <font>
      <sz val="9"/>
      <color indexed="8"/>
      <name val="Soberana Sans"/>
      <family val="3"/>
    </font>
    <font>
      <sz val="9"/>
      <color indexed="10"/>
      <name val="Soberana Sans"/>
      <family val="3"/>
    </font>
    <font>
      <sz val="9"/>
      <color indexed="8"/>
      <name val="Arial Narrow"/>
      <family val="2"/>
    </font>
    <font>
      <b/>
      <sz val="14"/>
      <color indexed="8"/>
      <name val="Soberana Sans"/>
      <family val="3"/>
    </font>
    <font>
      <sz val="14"/>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Soberana Sans"/>
      <family val="3"/>
    </font>
    <font>
      <sz val="11"/>
      <color indexed="8"/>
      <name val="Arial Narrow"/>
      <family val="2"/>
    </font>
    <font>
      <sz val="10"/>
      <color indexed="8"/>
      <name val="Soberana Sans"/>
      <family val="3"/>
    </font>
    <font>
      <sz val="11"/>
      <color indexed="8"/>
      <name val="Soberana Sans"/>
      <family val="3"/>
    </font>
    <font>
      <b/>
      <sz val="8"/>
      <color indexed="8"/>
      <name val="Soberana Sans"/>
      <family val="3"/>
    </font>
    <font>
      <b/>
      <sz val="9"/>
      <color indexed="8"/>
      <name val="Soberana Sans"/>
      <family val="3"/>
    </font>
    <font>
      <sz val="11"/>
      <color indexed="10"/>
      <name val="Soberana Sans"/>
      <family val="3"/>
    </font>
    <font>
      <sz val="26"/>
      <color indexed="8"/>
      <name val="Soberana Titular"/>
      <family val="3"/>
    </font>
    <font>
      <b/>
      <sz val="20"/>
      <color indexed="8"/>
      <name val="Soberana Sans"/>
      <family val="3"/>
    </font>
    <font>
      <sz val="14"/>
      <color indexed="8"/>
      <name val="Soberana Sans Light"/>
      <family val="3"/>
    </font>
    <font>
      <b/>
      <sz val="14"/>
      <color indexed="9"/>
      <name val="Soberana Sans"/>
      <family val="3"/>
    </font>
    <font>
      <b/>
      <sz val="16"/>
      <color indexed="23"/>
      <name val="Soberana Sans"/>
      <family val="3"/>
    </font>
    <font>
      <sz val="26"/>
      <color indexed="8"/>
      <name val="Batang"/>
      <family val="1"/>
    </font>
    <font>
      <b/>
      <sz val="26"/>
      <color indexed="8"/>
      <name val="Soberana Sans"/>
      <family val="3"/>
    </font>
    <font>
      <sz val="26"/>
      <color indexed="8"/>
      <name val="Soberana Sans"/>
      <family val="3"/>
    </font>
    <font>
      <b/>
      <sz val="11"/>
      <color indexed="8"/>
      <name val="Arial Narrow"/>
      <family val="2"/>
    </font>
    <font>
      <b/>
      <sz val="11"/>
      <color indexed="8"/>
      <name val="Soberana Sans"/>
      <family val="3"/>
    </font>
    <font>
      <b/>
      <sz val="20"/>
      <color indexed="8"/>
      <name val="Soberana Titular"/>
      <family val="3"/>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Soberana Sans"/>
      <family val="3"/>
    </font>
    <font>
      <sz val="11"/>
      <color theme="1"/>
      <name val="Arial Narrow"/>
      <family val="2"/>
    </font>
    <font>
      <b/>
      <sz val="14"/>
      <color theme="1"/>
      <name val="Soberana Sans"/>
      <family val="3"/>
    </font>
    <font>
      <sz val="10"/>
      <color theme="1"/>
      <name val="Soberana Sans"/>
      <family val="3"/>
    </font>
    <font>
      <sz val="11"/>
      <color theme="1"/>
      <name val="Soberana Sans"/>
      <family val="3"/>
    </font>
    <font>
      <b/>
      <sz val="8"/>
      <color theme="1"/>
      <name val="Soberana Sans"/>
      <family val="3"/>
    </font>
    <font>
      <sz val="9"/>
      <color theme="1"/>
      <name val="Soberana Sans"/>
      <family val="3"/>
    </font>
    <font>
      <b/>
      <sz val="9"/>
      <color rgb="FF000000"/>
      <name val="Soberana Sans"/>
      <family val="3"/>
    </font>
    <font>
      <sz val="9"/>
      <color rgb="FF000000"/>
      <name val="Soberana Sans"/>
      <family val="3"/>
    </font>
    <font>
      <sz val="11"/>
      <color rgb="FFFF0000"/>
      <name val="Soberana Sans"/>
      <family val="3"/>
    </font>
    <font>
      <sz val="26"/>
      <color theme="1"/>
      <name val="Soberana Titular"/>
      <family val="3"/>
    </font>
    <font>
      <b/>
      <sz val="20"/>
      <color theme="1"/>
      <name val="Soberana Sans"/>
      <family val="3"/>
    </font>
    <font>
      <sz val="14"/>
      <color theme="1"/>
      <name val="Soberana Sans Light"/>
      <family val="3"/>
    </font>
    <font>
      <b/>
      <sz val="14"/>
      <color rgb="FFFFFFFF"/>
      <name val="Soberana Sans"/>
      <family val="3"/>
    </font>
    <font>
      <b/>
      <sz val="16"/>
      <color rgb="FF808080"/>
      <name val="Soberana Sans"/>
      <family val="3"/>
    </font>
    <font>
      <sz val="26"/>
      <color theme="1"/>
      <name val="Batang"/>
      <family val="1"/>
    </font>
    <font>
      <b/>
      <sz val="9"/>
      <color theme="0"/>
      <name val="Soberana Sans"/>
      <family val="3"/>
    </font>
    <font>
      <b/>
      <sz val="9"/>
      <color theme="1"/>
      <name val="Soberana Sans"/>
      <family val="3"/>
    </font>
    <font>
      <b/>
      <sz val="9"/>
      <color rgb="FFFFFFFF"/>
      <name val="Soberana Sans"/>
      <family val="3"/>
    </font>
    <font>
      <b/>
      <sz val="11"/>
      <color rgb="FF000000"/>
      <name val="Arial Narrow"/>
      <family val="2"/>
    </font>
    <font>
      <sz val="11"/>
      <color rgb="FF000000"/>
      <name val="Arial Narrow"/>
      <family val="2"/>
    </font>
    <font>
      <sz val="9"/>
      <color rgb="FFFFFFFF"/>
      <name val="Soberana Sans"/>
      <family val="3"/>
    </font>
    <font>
      <b/>
      <sz val="26"/>
      <color theme="1"/>
      <name val="Soberana Sans"/>
      <family val="3"/>
    </font>
    <font>
      <sz val="26"/>
      <color theme="1"/>
      <name val="Soberana Sans"/>
      <family val="3"/>
    </font>
    <font>
      <b/>
      <sz val="11"/>
      <color rgb="FF000000"/>
      <name val="Soberana Sans"/>
      <family val="3"/>
    </font>
    <font>
      <sz val="11"/>
      <color rgb="FF000000"/>
      <name val="Soberana Sans"/>
      <family val="3"/>
    </font>
    <font>
      <b/>
      <sz val="20"/>
      <color theme="1"/>
      <name val="Soberana Titular"/>
      <family val="3"/>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rgb="FF00853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top/>
      <bottom/>
    </border>
    <border>
      <left style="thin"/>
      <right/>
      <top/>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border>
    <border>
      <left/>
      <right/>
      <top style="thin">
        <color rgb="FF000000"/>
      </top>
      <bottom/>
    </border>
    <border>
      <left style="thin">
        <color rgb="FF000000"/>
      </left>
      <right/>
      <top/>
      <bottom style="thin">
        <color rgb="FF000000"/>
      </bottom>
    </border>
    <border>
      <left/>
      <right/>
      <top/>
      <bottom style="thin">
        <color rgb="FF000000"/>
      </bottom>
    </border>
    <border>
      <left/>
      <right/>
      <top/>
      <bottom style="thick">
        <color rgb="FFC00000"/>
      </bottom>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right style="thin">
        <color rgb="FF000000"/>
      </right>
      <top style="thin">
        <color rgb="FF000000"/>
      </top>
      <bottom/>
    </border>
    <border>
      <left/>
      <right style="thin">
        <color rgb="FF000000"/>
      </right>
      <top/>
      <bottom style="thin">
        <color rgb="FF000000"/>
      </bottom>
    </border>
    <border>
      <left style="thin"/>
      <right/>
      <top style="thin"/>
      <bottom/>
    </border>
    <border>
      <left/>
      <right style="thin"/>
      <top style="thin"/>
      <bottom/>
    </border>
    <border>
      <left/>
      <right style="thin"/>
      <top/>
      <bottom/>
    </border>
    <border>
      <left/>
      <right/>
      <top/>
      <bottom style="thin"/>
    </border>
    <border>
      <left/>
      <right style="thin"/>
      <top/>
      <bottom style="thin"/>
    </border>
    <border>
      <left/>
      <right/>
      <top/>
      <bottom style="thin">
        <color rgb="FF808080"/>
      </bottom>
    </border>
    <border>
      <left style="thin"/>
      <right>
        <color indexed="63"/>
      </right>
      <top style="thin">
        <color rgb="FF000000"/>
      </top>
      <bottom style="thin"/>
    </border>
    <border>
      <left>
        <color indexed="63"/>
      </left>
      <right>
        <color indexed="63"/>
      </right>
      <top style="thin">
        <color rgb="FF000000"/>
      </top>
      <bottom style="thin"/>
    </border>
    <border>
      <left>
        <color indexed="63"/>
      </left>
      <right style="thin"/>
      <top style="thin">
        <color rgb="FF000000"/>
      </top>
      <bottom style="thin"/>
    </border>
    <border>
      <left style="medium"/>
      <right/>
      <top style="medium"/>
      <bottom style="medium"/>
    </border>
    <border>
      <left/>
      <right style="medium"/>
      <top style="medium"/>
      <bottom style="medium"/>
    </border>
    <border>
      <left/>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289">
    <xf numFmtId="0" fontId="0" fillId="0" borderId="0" xfId="0" applyFont="1" applyAlignment="1">
      <alignment/>
    </xf>
    <xf numFmtId="0" fontId="67" fillId="0" borderId="0" xfId="0" applyFont="1" applyBorder="1" applyAlignment="1">
      <alignment horizontal="center" vertical="center" wrapText="1"/>
    </xf>
    <xf numFmtId="0" fontId="68" fillId="0" borderId="0" xfId="0" applyFont="1" applyAlignment="1">
      <alignment vertical="top"/>
    </xf>
    <xf numFmtId="0" fontId="68" fillId="0" borderId="0" xfId="0" applyFont="1" applyFill="1" applyAlignment="1">
      <alignment vertical="top"/>
    </xf>
    <xf numFmtId="0" fontId="67" fillId="0" borderId="0" xfId="0" applyFont="1" applyBorder="1" applyAlignment="1">
      <alignment vertical="center" wrapText="1"/>
    </xf>
    <xf numFmtId="2" fontId="67" fillId="0" borderId="0" xfId="52" applyNumberFormat="1" applyFont="1" applyFill="1" applyBorder="1" applyAlignment="1">
      <alignment horizontal="center" vertical="center" wrapText="1"/>
    </xf>
    <xf numFmtId="10" fontId="69" fillId="0" borderId="0" xfId="56" applyNumberFormat="1" applyFont="1" applyFill="1" applyBorder="1" applyAlignment="1">
      <alignment horizontal="center" vertical="center" wrapText="1"/>
    </xf>
    <xf numFmtId="0" fontId="0" fillId="0" borderId="0" xfId="0" applyAlignment="1">
      <alignment horizontal="center"/>
    </xf>
    <xf numFmtId="0" fontId="67" fillId="0" borderId="0" xfId="0" applyFont="1" applyAlignment="1">
      <alignment horizontal="center" vertical="center" wrapText="1"/>
    </xf>
    <xf numFmtId="0" fontId="3" fillId="33" borderId="10" xfId="0" applyFont="1" applyFill="1" applyBorder="1" applyAlignment="1" applyProtection="1">
      <alignment vertical="center" wrapText="1"/>
      <protection/>
    </xf>
    <xf numFmtId="0" fontId="3" fillId="34" borderId="10" xfId="0" applyFont="1" applyFill="1" applyBorder="1" applyAlignment="1" applyProtection="1">
      <alignment vertical="center" wrapText="1"/>
      <protection/>
    </xf>
    <xf numFmtId="0" fontId="70" fillId="34" borderId="10" xfId="0" applyFont="1" applyFill="1" applyBorder="1" applyAlignment="1" applyProtection="1">
      <alignment vertical="center"/>
      <protection/>
    </xf>
    <xf numFmtId="0" fontId="70" fillId="34" borderId="11" xfId="0" applyFont="1" applyFill="1" applyBorder="1" applyAlignment="1" applyProtection="1">
      <alignment vertical="center"/>
      <protection/>
    </xf>
    <xf numFmtId="0" fontId="71" fillId="0" borderId="0" xfId="0" applyFont="1" applyAlignment="1">
      <alignment/>
    </xf>
    <xf numFmtId="0" fontId="67" fillId="0" borderId="0" xfId="0" applyFont="1" applyBorder="1" applyAlignment="1">
      <alignment horizontal="center" vertical="center" wrapText="1"/>
    </xf>
    <xf numFmtId="0" fontId="71" fillId="0" borderId="0" xfId="0" applyFont="1" applyAlignment="1">
      <alignment vertical="top"/>
    </xf>
    <xf numFmtId="0" fontId="71" fillId="0" borderId="0" xfId="0" applyFont="1" applyFill="1" applyAlignment="1">
      <alignment vertical="top"/>
    </xf>
    <xf numFmtId="0" fontId="67" fillId="0" borderId="0" xfId="0" applyFont="1" applyBorder="1" applyAlignment="1">
      <alignment vertical="center" wrapText="1"/>
    </xf>
    <xf numFmtId="2" fontId="67" fillId="0" borderId="0" xfId="52" applyNumberFormat="1" applyFont="1" applyFill="1" applyBorder="1" applyAlignment="1">
      <alignment horizontal="center" vertical="center" wrapText="1"/>
    </xf>
    <xf numFmtId="10" fontId="69" fillId="0" borderId="0" xfId="56" applyNumberFormat="1" applyFont="1" applyFill="1" applyBorder="1" applyAlignment="1">
      <alignment horizontal="center" vertical="center" wrapText="1"/>
    </xf>
    <xf numFmtId="0" fontId="71" fillId="0" borderId="0" xfId="0" applyFont="1" applyAlignment="1">
      <alignment horizontal="center"/>
    </xf>
    <xf numFmtId="0" fontId="71" fillId="0" borderId="0" xfId="0" applyFont="1" applyAlignment="1">
      <alignment vertical="center"/>
    </xf>
    <xf numFmtId="0" fontId="72" fillId="0" borderId="0" xfId="0" applyFont="1" applyBorder="1" applyAlignment="1">
      <alignment horizontal="center" vertical="center" wrapText="1"/>
    </xf>
    <xf numFmtId="0" fontId="73" fillId="0" borderId="12" xfId="0" applyFont="1" applyBorder="1" applyAlignment="1" applyProtection="1">
      <alignment vertical="center"/>
      <protection/>
    </xf>
    <xf numFmtId="0" fontId="73" fillId="0" borderId="13" xfId="0" applyFont="1" applyBorder="1" applyAlignment="1" applyProtection="1">
      <alignment vertical="center"/>
      <protection/>
    </xf>
    <xf numFmtId="0" fontId="71" fillId="0" borderId="0" xfId="0" applyFont="1" applyAlignment="1" applyProtection="1">
      <alignment vertical="center"/>
      <protection/>
    </xf>
    <xf numFmtId="0" fontId="74" fillId="35" borderId="14"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74" fillId="36" borderId="16" xfId="0" applyFont="1" applyFill="1" applyBorder="1" applyAlignment="1">
      <alignment vertical="center" wrapText="1"/>
    </xf>
    <xf numFmtId="4" fontId="75" fillId="36" borderId="16" xfId="0" applyNumberFormat="1" applyFont="1" applyFill="1" applyBorder="1" applyAlignment="1">
      <alignment vertical="center" wrapText="1"/>
    </xf>
    <xf numFmtId="4" fontId="74" fillId="36" borderId="16" xfId="0" applyNumberFormat="1" applyFont="1" applyFill="1" applyBorder="1" applyAlignment="1">
      <alignment vertical="center" wrapText="1"/>
    </xf>
    <xf numFmtId="0" fontId="71" fillId="0" borderId="0" xfId="0" applyFont="1" applyAlignment="1" applyProtection="1">
      <alignment horizontal="justify" vertical="center"/>
      <protection/>
    </xf>
    <xf numFmtId="0" fontId="74" fillId="0" borderId="17" xfId="0" applyFont="1" applyFill="1" applyBorder="1" applyAlignment="1" applyProtection="1">
      <alignment horizontal="right" vertical="center" wrapText="1"/>
      <protection/>
    </xf>
    <xf numFmtId="0" fontId="74" fillId="36" borderId="17" xfId="0" applyFont="1" applyFill="1" applyBorder="1" applyAlignment="1" applyProtection="1">
      <alignment horizontal="right" vertical="center" wrapText="1"/>
      <protection/>
    </xf>
    <xf numFmtId="4" fontId="75" fillId="0" borderId="16" xfId="0" applyNumberFormat="1" applyFont="1" applyFill="1" applyBorder="1" applyAlignment="1">
      <alignment horizontal="center" vertical="center" wrapText="1"/>
    </xf>
    <xf numFmtId="10" fontId="75" fillId="0" borderId="16" xfId="56" applyNumberFormat="1" applyFont="1" applyFill="1" applyBorder="1" applyAlignment="1">
      <alignment horizontal="center" vertical="center" wrapText="1"/>
    </xf>
    <xf numFmtId="0" fontId="71" fillId="0" borderId="0" xfId="0" applyFont="1" applyAlignment="1">
      <alignment vertical="center"/>
    </xf>
    <xf numFmtId="0" fontId="72" fillId="0" borderId="0" xfId="0" applyFont="1" applyBorder="1" applyAlignment="1">
      <alignment horizontal="center" vertical="center" wrapText="1"/>
    </xf>
    <xf numFmtId="0" fontId="71" fillId="0" borderId="0" xfId="0" applyFont="1" applyAlignment="1" applyProtection="1">
      <alignment vertical="center"/>
      <protection/>
    </xf>
    <xf numFmtId="0" fontId="71" fillId="0" borderId="12" xfId="0" applyFont="1" applyBorder="1" applyAlignment="1" applyProtection="1">
      <alignment vertical="center"/>
      <protection/>
    </xf>
    <xf numFmtId="0" fontId="71" fillId="0" borderId="13" xfId="0" applyFont="1" applyBorder="1" applyAlignment="1" applyProtection="1">
      <alignment vertical="center"/>
      <protection/>
    </xf>
    <xf numFmtId="0" fontId="74" fillId="35" borderId="14" xfId="0" applyFont="1" applyFill="1" applyBorder="1" applyAlignment="1">
      <alignment horizontal="center" vertical="center" wrapText="1"/>
    </xf>
    <xf numFmtId="0" fontId="74" fillId="35" borderId="15" xfId="0" applyFont="1" applyFill="1" applyBorder="1" applyAlignment="1">
      <alignment horizontal="center" vertical="center" wrapText="1"/>
    </xf>
    <xf numFmtId="4" fontId="75" fillId="0" borderId="16" xfId="0" applyNumberFormat="1" applyFont="1" applyFill="1" applyBorder="1" applyAlignment="1">
      <alignment horizontal="center" vertical="center" wrapText="1"/>
    </xf>
    <xf numFmtId="10" fontId="75" fillId="0" borderId="16" xfId="56" applyNumberFormat="1" applyFont="1" applyFill="1" applyBorder="1" applyAlignment="1">
      <alignment horizontal="center" vertical="center" wrapText="1"/>
    </xf>
    <xf numFmtId="0" fontId="74" fillId="36" borderId="16" xfId="0" applyFont="1" applyFill="1" applyBorder="1" applyAlignment="1">
      <alignment vertical="center" wrapText="1"/>
    </xf>
    <xf numFmtId="4" fontId="75" fillId="36" borderId="16" xfId="0" applyNumberFormat="1" applyFont="1" applyFill="1" applyBorder="1" applyAlignment="1">
      <alignment vertical="center" wrapText="1"/>
    </xf>
    <xf numFmtId="4" fontId="74" fillId="36" borderId="16" xfId="0" applyNumberFormat="1" applyFont="1" applyFill="1" applyBorder="1" applyAlignment="1">
      <alignment vertical="center" wrapText="1"/>
    </xf>
    <xf numFmtId="0" fontId="74" fillId="0" borderId="17" xfId="0" applyFont="1" applyFill="1" applyBorder="1" applyAlignment="1" applyProtection="1">
      <alignment horizontal="right" vertical="center" wrapText="1"/>
      <protection/>
    </xf>
    <xf numFmtId="0" fontId="74" fillId="36" borderId="17" xfId="0" applyFont="1" applyFill="1" applyBorder="1" applyAlignment="1" applyProtection="1">
      <alignment horizontal="right" vertical="center" wrapText="1"/>
      <protection/>
    </xf>
    <xf numFmtId="171" fontId="71" fillId="0" borderId="0" xfId="51" applyFont="1" applyAlignment="1" applyProtection="1">
      <alignment vertical="center"/>
      <protection/>
    </xf>
    <xf numFmtId="0" fontId="73" fillId="0" borderId="0" xfId="0" applyFont="1" applyAlignment="1" applyProtection="1">
      <alignment vertical="center"/>
      <protection/>
    </xf>
    <xf numFmtId="4" fontId="71" fillId="0" borderId="0" xfId="0" applyNumberFormat="1" applyFont="1" applyAlignment="1" applyProtection="1">
      <alignment vertical="center"/>
      <protection/>
    </xf>
    <xf numFmtId="0" fontId="71" fillId="0" borderId="0" xfId="0" applyFont="1" applyFill="1" applyAlignment="1" applyProtection="1">
      <alignment vertical="center"/>
      <protection/>
    </xf>
    <xf numFmtId="0" fontId="71" fillId="0" borderId="0" xfId="0" applyFont="1" applyAlignment="1" applyProtection="1">
      <alignment vertical="center" wrapText="1"/>
      <protection/>
    </xf>
    <xf numFmtId="0" fontId="71" fillId="0" borderId="12" xfId="0" applyFont="1" applyBorder="1" applyAlignment="1" applyProtection="1">
      <alignment vertical="center" wrapText="1"/>
      <protection/>
    </xf>
    <xf numFmtId="0" fontId="71" fillId="0" borderId="13" xfId="0" applyFont="1" applyBorder="1" applyAlignment="1" applyProtection="1">
      <alignment vertical="center" wrapText="1"/>
      <protection/>
    </xf>
    <xf numFmtId="171" fontId="71" fillId="0" borderId="0" xfId="51" applyFont="1" applyAlignment="1" applyProtection="1">
      <alignment horizontal="right" vertical="center" wrapText="1"/>
      <protection/>
    </xf>
    <xf numFmtId="0" fontId="71" fillId="34" borderId="0" xfId="0" applyFont="1" applyFill="1" applyAlignment="1">
      <alignment vertical="center"/>
    </xf>
    <xf numFmtId="0" fontId="72" fillId="34" borderId="0" xfId="0" applyFont="1" applyFill="1" applyBorder="1" applyAlignment="1">
      <alignment horizontal="center" vertical="center" wrapText="1"/>
    </xf>
    <xf numFmtId="0" fontId="71" fillId="34" borderId="0" xfId="0" applyFont="1" applyFill="1" applyAlignment="1" applyProtection="1">
      <alignment vertical="center"/>
      <protection/>
    </xf>
    <xf numFmtId="0" fontId="71" fillId="34" borderId="12" xfId="0" applyFont="1" applyFill="1" applyBorder="1" applyAlignment="1" applyProtection="1">
      <alignment vertical="center"/>
      <protection/>
    </xf>
    <xf numFmtId="0" fontId="71" fillId="34" borderId="13" xfId="0" applyFont="1" applyFill="1" applyBorder="1" applyAlignment="1" applyProtection="1">
      <alignment vertical="center"/>
      <protection/>
    </xf>
    <xf numFmtId="4" fontId="71" fillId="34" borderId="0" xfId="0" applyNumberFormat="1" applyFont="1" applyFill="1" applyAlignment="1" applyProtection="1">
      <alignment vertical="center"/>
      <protection/>
    </xf>
    <xf numFmtId="2" fontId="71"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74" fillId="36" borderId="17" xfId="0" applyFont="1" applyFill="1" applyBorder="1" applyAlignment="1" applyProtection="1">
      <alignment horizontal="right" vertical="center" wrapText="1"/>
      <protection locked="0"/>
    </xf>
    <xf numFmtId="0" fontId="76" fillId="0" borderId="0" xfId="0" applyFont="1" applyAlignment="1" applyProtection="1">
      <alignment vertical="center"/>
      <protection/>
    </xf>
    <xf numFmtId="0" fontId="0" fillId="34" borderId="0" xfId="0" applyFill="1" applyAlignment="1">
      <alignment/>
    </xf>
    <xf numFmtId="0" fontId="0" fillId="34" borderId="0" xfId="0" applyFill="1" applyAlignment="1" applyProtection="1">
      <alignment/>
      <protection/>
    </xf>
    <xf numFmtId="0" fontId="77" fillId="0" borderId="0" xfId="0" applyFont="1" applyAlignment="1">
      <alignment vertical="center"/>
    </xf>
    <xf numFmtId="0" fontId="78" fillId="0" borderId="0" xfId="0" applyFont="1" applyAlignment="1">
      <alignment vertical="center" wrapText="1"/>
    </xf>
    <xf numFmtId="0" fontId="67" fillId="0" borderId="0" xfId="0" applyFont="1" applyAlignment="1">
      <alignment vertical="center" wrapText="1"/>
    </xf>
    <xf numFmtId="0" fontId="79" fillId="0" borderId="0" xfId="0" applyFont="1" applyAlignment="1">
      <alignment vertical="center" wrapText="1"/>
    </xf>
    <xf numFmtId="171" fontId="71" fillId="0" borderId="0" xfId="51" applyFont="1" applyAlignment="1" applyProtection="1">
      <alignment horizontal="right" vertical="center"/>
      <protection/>
    </xf>
    <xf numFmtId="0" fontId="10" fillId="0" borderId="0" xfId="0" applyFont="1" applyBorder="1" applyAlignment="1">
      <alignment horizontal="center" vertical="center" wrapText="1"/>
    </xf>
    <xf numFmtId="0" fontId="80" fillId="37" borderId="18" xfId="0" applyFont="1" applyFill="1" applyBorder="1" applyAlignment="1">
      <alignment horizontal="center" vertical="center" wrapText="1"/>
    </xf>
    <xf numFmtId="0" fontId="80" fillId="37" borderId="19"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81" fillId="36" borderId="0" xfId="0" applyFont="1" applyFill="1" applyBorder="1" applyAlignment="1">
      <alignment horizontal="center" vertical="center" wrapText="1"/>
    </xf>
    <xf numFmtId="0" fontId="81" fillId="36" borderId="22" xfId="0" applyFont="1" applyFill="1" applyBorder="1" applyAlignment="1">
      <alignment horizontal="center" vertical="center" wrapText="1"/>
    </xf>
    <xf numFmtId="0" fontId="4" fillId="0" borderId="0" xfId="0" applyFont="1" applyBorder="1" applyAlignment="1">
      <alignment horizontal="center" vertical="center"/>
    </xf>
    <xf numFmtId="0" fontId="77" fillId="0" borderId="0" xfId="0" applyFont="1" applyAlignment="1">
      <alignment horizontal="center" vertical="center" wrapText="1"/>
    </xf>
    <xf numFmtId="0" fontId="82" fillId="0" borderId="0" xfId="0" applyFont="1" applyAlignment="1">
      <alignment horizontal="center"/>
    </xf>
    <xf numFmtId="0" fontId="11" fillId="0" borderId="0" xfId="46" applyFont="1" applyAlignment="1">
      <alignment horizontal="center" vertical="center" wrapText="1"/>
    </xf>
    <xf numFmtId="0" fontId="78" fillId="0" borderId="0" xfId="0" applyFont="1" applyAlignment="1">
      <alignment horizontal="center" vertical="center" wrapText="1"/>
    </xf>
    <xf numFmtId="0" fontId="67" fillId="0" borderId="0" xfId="0" applyFont="1" applyAlignment="1">
      <alignment horizontal="center" vertical="center" wrapText="1"/>
    </xf>
    <xf numFmtId="0" fontId="74" fillId="35" borderId="17" xfId="0" applyFont="1" applyFill="1" applyBorder="1" applyAlignment="1" applyProtection="1">
      <alignment vertical="center" wrapText="1"/>
      <protection/>
    </xf>
    <xf numFmtId="0" fontId="75" fillId="36" borderId="17" xfId="0" applyFont="1" applyFill="1" applyBorder="1" applyAlignment="1" applyProtection="1">
      <alignment horizontal="left" vertical="center" wrapText="1"/>
      <protection/>
    </xf>
    <xf numFmtId="0" fontId="0" fillId="35" borderId="17" xfId="0" applyFill="1" applyBorder="1" applyAlignment="1" applyProtection="1">
      <alignment vertical="center" wrapText="1"/>
      <protection/>
    </xf>
    <xf numFmtId="0" fontId="75" fillId="0" borderId="23" xfId="0" applyFont="1" applyFill="1" applyBorder="1" applyAlignment="1" applyProtection="1">
      <alignment vertical="center" wrapText="1"/>
      <protection/>
    </xf>
    <xf numFmtId="0" fontId="75" fillId="36" borderId="17" xfId="0" applyFont="1" applyFill="1" applyBorder="1" applyAlignment="1" applyProtection="1">
      <alignment vertical="center" wrapText="1"/>
      <protection locked="0"/>
    </xf>
    <xf numFmtId="0" fontId="75" fillId="36" borderId="17" xfId="0" applyFont="1" applyFill="1" applyBorder="1" applyAlignment="1" applyProtection="1">
      <alignment horizontal="left" vertical="center" wrapText="1"/>
      <protection locked="0"/>
    </xf>
    <xf numFmtId="0" fontId="83" fillId="37" borderId="17" xfId="0" applyFont="1" applyFill="1" applyBorder="1" applyAlignment="1" applyProtection="1">
      <alignment horizontal="center" vertical="center" wrapText="1"/>
      <protection/>
    </xf>
    <xf numFmtId="0" fontId="74" fillId="35" borderId="17" xfId="0" applyFont="1" applyFill="1" applyBorder="1" applyAlignment="1" applyProtection="1">
      <alignment horizontal="left" vertical="center" wrapText="1"/>
      <protection/>
    </xf>
    <xf numFmtId="0" fontId="75" fillId="0" borderId="17" xfId="0" applyFont="1" applyFill="1" applyBorder="1" applyAlignment="1" applyProtection="1">
      <alignment vertical="center" wrapText="1"/>
      <protection locked="0"/>
    </xf>
    <xf numFmtId="0" fontId="84" fillId="35" borderId="17" xfId="0" applyFont="1" applyFill="1" applyBorder="1" applyAlignment="1" applyProtection="1">
      <alignment vertical="center" wrapText="1"/>
      <protection/>
    </xf>
    <xf numFmtId="0" fontId="75" fillId="36" borderId="14" xfId="0" applyFont="1" applyFill="1" applyBorder="1" applyAlignment="1">
      <alignment horizontal="left" vertical="center" wrapText="1"/>
    </xf>
    <xf numFmtId="0" fontId="75" fillId="36" borderId="15" xfId="0" applyFont="1" applyFill="1" applyBorder="1" applyAlignment="1">
      <alignment horizontal="left" vertical="center" wrapText="1"/>
    </xf>
    <xf numFmtId="0" fontId="75" fillId="36" borderId="14" xfId="0" applyFont="1" applyFill="1" applyBorder="1" applyAlignment="1">
      <alignment horizontal="center" vertical="center" wrapText="1"/>
    </xf>
    <xf numFmtId="0" fontId="75" fillId="36" borderId="15" xfId="0" applyFont="1" applyFill="1" applyBorder="1" applyAlignment="1">
      <alignment horizontal="center" vertical="center" wrapText="1"/>
    </xf>
    <xf numFmtId="0" fontId="74" fillId="36" borderId="14" xfId="0" applyFont="1" applyFill="1" applyBorder="1" applyAlignment="1">
      <alignment horizontal="center" vertical="center" wrapText="1"/>
    </xf>
    <xf numFmtId="0" fontId="74" fillId="36" borderId="15" xfId="0" applyFont="1" applyFill="1" applyBorder="1" applyAlignment="1">
      <alignment horizontal="center" vertical="center" wrapText="1"/>
    </xf>
    <xf numFmtId="0" fontId="74" fillId="35" borderId="17" xfId="0" applyFont="1" applyFill="1" applyBorder="1" applyAlignment="1" applyProtection="1">
      <alignment horizontal="center" vertical="center" wrapText="1"/>
      <protection/>
    </xf>
    <xf numFmtId="0" fontId="85" fillId="37" borderId="24" xfId="0" applyFont="1" applyFill="1" applyBorder="1" applyAlignment="1">
      <alignment horizontal="center" vertical="center" wrapText="1"/>
    </xf>
    <xf numFmtId="0" fontId="85" fillId="37" borderId="25" xfId="0" applyFont="1" applyFill="1" applyBorder="1" applyAlignment="1">
      <alignment horizontal="center" vertical="center" wrapText="1"/>
    </xf>
    <xf numFmtId="0" fontId="85" fillId="37" borderId="26" xfId="0" applyFont="1" applyFill="1" applyBorder="1" applyAlignment="1">
      <alignment horizontal="center" vertical="center" wrapText="1"/>
    </xf>
    <xf numFmtId="0" fontId="74" fillId="36" borderId="27" xfId="0" applyFont="1" applyFill="1" applyBorder="1" applyAlignment="1" applyProtection="1">
      <alignment horizontal="left" vertical="center" wrapText="1"/>
      <protection/>
    </xf>
    <xf numFmtId="0" fontId="74" fillId="36" borderId="28" xfId="0" applyFont="1" applyFill="1" applyBorder="1" applyAlignment="1" applyProtection="1">
      <alignment horizontal="left" vertical="center" wrapText="1"/>
      <protection/>
    </xf>
    <xf numFmtId="0" fontId="73" fillId="36" borderId="27" xfId="0" applyFont="1" applyFill="1" applyBorder="1" applyAlignment="1" applyProtection="1">
      <alignment horizontal="left" vertical="center" wrapText="1"/>
      <protection/>
    </xf>
    <xf numFmtId="0" fontId="73" fillId="36" borderId="29" xfId="0" applyFont="1" applyFill="1" applyBorder="1" applyAlignment="1" applyProtection="1">
      <alignment horizontal="left" vertical="center" wrapText="1"/>
      <protection/>
    </xf>
    <xf numFmtId="0" fontId="73" fillId="36" borderId="28" xfId="0" applyFont="1" applyFill="1" applyBorder="1" applyAlignment="1" applyProtection="1">
      <alignment horizontal="left" vertical="center" wrapText="1"/>
      <protection/>
    </xf>
    <xf numFmtId="0" fontId="85" fillId="37" borderId="17" xfId="0" applyFont="1" applyFill="1" applyBorder="1" applyAlignment="1" applyProtection="1">
      <alignment horizontal="center" vertical="center" wrapText="1"/>
      <protection/>
    </xf>
    <xf numFmtId="0" fontId="85" fillId="37" borderId="30" xfId="0" applyFont="1" applyFill="1" applyBorder="1" applyAlignment="1" applyProtection="1">
      <alignment horizontal="center" vertical="center" wrapText="1"/>
      <protection/>
    </xf>
    <xf numFmtId="0" fontId="71" fillId="35" borderId="18" xfId="0" applyFont="1" applyFill="1" applyBorder="1" applyAlignment="1">
      <alignment vertical="center" wrapText="1"/>
    </xf>
    <xf numFmtId="0" fontId="71" fillId="35" borderId="19" xfId="0" applyFont="1" applyFill="1" applyBorder="1" applyAlignment="1">
      <alignment vertical="center" wrapText="1"/>
    </xf>
    <xf numFmtId="0" fontId="71" fillId="35" borderId="31" xfId="0" applyFont="1" applyFill="1" applyBorder="1" applyAlignment="1">
      <alignment vertical="center" wrapText="1"/>
    </xf>
    <xf numFmtId="0" fontId="71" fillId="35" borderId="20" xfId="0" applyFont="1" applyFill="1" applyBorder="1" applyAlignment="1">
      <alignment vertical="center" wrapText="1"/>
    </xf>
    <xf numFmtId="0" fontId="71" fillId="35" borderId="21" xfId="0" applyFont="1" applyFill="1" applyBorder="1" applyAlignment="1">
      <alignment vertical="center" wrapText="1"/>
    </xf>
    <xf numFmtId="0" fontId="71" fillId="35" borderId="32" xfId="0" applyFont="1" applyFill="1" applyBorder="1" applyAlignment="1">
      <alignment vertical="center" wrapText="1"/>
    </xf>
    <xf numFmtId="0" fontId="74" fillId="36" borderId="24" xfId="0" applyFont="1" applyFill="1" applyBorder="1" applyAlignment="1">
      <alignment horizontal="right" vertical="center" wrapText="1"/>
    </xf>
    <xf numFmtId="0" fontId="74" fillId="36" borderId="25" xfId="0" applyFont="1" applyFill="1" applyBorder="1" applyAlignment="1">
      <alignment horizontal="right" vertical="center" wrapText="1"/>
    </xf>
    <xf numFmtId="0" fontId="74" fillId="36" borderId="26" xfId="0" applyFont="1" applyFill="1" applyBorder="1" applyAlignment="1">
      <alignment horizontal="right" vertical="center" wrapText="1"/>
    </xf>
    <xf numFmtId="0" fontId="86" fillId="36" borderId="33" xfId="0" applyFont="1" applyFill="1" applyBorder="1" applyAlignment="1" applyProtection="1">
      <alignment horizontal="left" vertical="center" wrapText="1"/>
      <protection/>
    </xf>
    <xf numFmtId="0" fontId="86" fillId="36" borderId="23" xfId="0" applyFont="1" applyFill="1" applyBorder="1" applyAlignment="1" applyProtection="1">
      <alignment horizontal="left" vertical="center" wrapText="1"/>
      <protection/>
    </xf>
    <xf numFmtId="0" fontId="86" fillId="36" borderId="34" xfId="0" applyFont="1" applyFill="1" applyBorder="1" applyAlignment="1" applyProtection="1">
      <alignment horizontal="left" vertical="center" wrapText="1"/>
      <protection/>
    </xf>
    <xf numFmtId="0" fontId="86" fillId="36" borderId="12" xfId="0" applyFont="1" applyFill="1" applyBorder="1" applyAlignment="1" applyProtection="1">
      <alignment horizontal="left" vertical="center" wrapText="1"/>
      <protection/>
    </xf>
    <xf numFmtId="0" fontId="86" fillId="36" borderId="0" xfId="0" applyFont="1" applyFill="1" applyBorder="1" applyAlignment="1" applyProtection="1">
      <alignment horizontal="left" vertical="center" wrapText="1"/>
      <protection/>
    </xf>
    <xf numFmtId="0" fontId="86" fillId="36" borderId="35" xfId="0" applyFont="1" applyFill="1" applyBorder="1" applyAlignment="1" applyProtection="1">
      <alignment horizontal="left" vertical="center" wrapText="1"/>
      <protection/>
    </xf>
    <xf numFmtId="0" fontId="87" fillId="36" borderId="12" xfId="0" applyFont="1" applyFill="1" applyBorder="1" applyAlignment="1" applyProtection="1">
      <alignment horizontal="left" vertical="center" wrapText="1"/>
      <protection/>
    </xf>
    <xf numFmtId="0" fontId="87" fillId="36" borderId="0" xfId="0" applyFont="1" applyFill="1" applyBorder="1" applyAlignment="1" applyProtection="1">
      <alignment horizontal="left" vertical="center" wrapText="1"/>
      <protection/>
    </xf>
    <xf numFmtId="0" fontId="87" fillId="36" borderId="35" xfId="0" applyFont="1" applyFill="1" applyBorder="1" applyAlignment="1" applyProtection="1">
      <alignment horizontal="left" vertical="center" wrapText="1"/>
      <protection/>
    </xf>
    <xf numFmtId="0" fontId="87" fillId="0" borderId="36" xfId="0" applyFont="1" applyFill="1" applyBorder="1" applyAlignment="1" applyProtection="1">
      <alignment horizontal="left" vertical="center" wrapText="1"/>
      <protection/>
    </xf>
    <xf numFmtId="0" fontId="87" fillId="0" borderId="37" xfId="0" applyFont="1" applyFill="1" applyBorder="1" applyAlignment="1" applyProtection="1">
      <alignment horizontal="left" vertical="center" wrapText="1"/>
      <protection/>
    </xf>
    <xf numFmtId="0" fontId="88" fillId="37" borderId="24" xfId="0" applyFont="1" applyFill="1" applyBorder="1" applyAlignment="1">
      <alignment horizontal="left" vertical="center" wrapText="1"/>
    </xf>
    <xf numFmtId="0" fontId="88" fillId="37" borderId="25" xfId="0" applyFont="1" applyFill="1" applyBorder="1" applyAlignment="1">
      <alignment horizontal="left" vertical="center" wrapText="1"/>
    </xf>
    <xf numFmtId="0" fontId="88" fillId="37" borderId="26" xfId="0" applyFont="1" applyFill="1" applyBorder="1" applyAlignment="1">
      <alignment horizontal="left" vertical="center" wrapText="1"/>
    </xf>
    <xf numFmtId="0" fontId="74" fillId="36" borderId="24" xfId="0" applyFont="1" applyFill="1" applyBorder="1" applyAlignment="1">
      <alignment vertical="center" wrapText="1"/>
    </xf>
    <xf numFmtId="0" fontId="74" fillId="36" borderId="25" xfId="0" applyFont="1" applyFill="1" applyBorder="1" applyAlignment="1">
      <alignment vertical="center" wrapText="1"/>
    </xf>
    <xf numFmtId="0" fontId="74" fillId="36" borderId="26" xfId="0" applyFont="1" applyFill="1" applyBorder="1" applyAlignment="1">
      <alignment vertical="center" wrapText="1"/>
    </xf>
    <xf numFmtId="0" fontId="89" fillId="0" borderId="38" xfId="0" applyFont="1" applyBorder="1" applyAlignment="1">
      <alignment horizontal="center" vertical="center" wrapText="1"/>
    </xf>
    <xf numFmtId="0" fontId="90" fillId="0" borderId="38" xfId="0" applyFont="1" applyBorder="1" applyAlignment="1">
      <alignment horizontal="center" vertical="center" wrapText="1"/>
    </xf>
    <xf numFmtId="0" fontId="89" fillId="0" borderId="0" xfId="0" applyFont="1" applyBorder="1" applyAlignment="1">
      <alignment horizontal="center" vertical="center" wrapText="1"/>
    </xf>
    <xf numFmtId="0" fontId="71" fillId="35" borderId="17" xfId="0" applyFont="1" applyFill="1" applyBorder="1" applyAlignment="1" applyProtection="1">
      <alignment vertical="center" wrapText="1"/>
      <protection/>
    </xf>
    <xf numFmtId="0" fontId="74" fillId="35" borderId="27" xfId="0" applyFont="1" applyFill="1" applyBorder="1" applyAlignment="1" applyProtection="1">
      <alignment vertical="center" wrapText="1"/>
      <protection/>
    </xf>
    <xf numFmtId="0" fontId="74" fillId="35" borderId="29" xfId="0" applyFont="1" applyFill="1" applyBorder="1" applyAlignment="1" applyProtection="1">
      <alignment vertical="center" wrapText="1"/>
      <protection/>
    </xf>
    <xf numFmtId="0" fontId="74" fillId="35" borderId="28" xfId="0" applyFont="1" applyFill="1" applyBorder="1" applyAlignment="1" applyProtection="1">
      <alignment vertical="center" wrapText="1"/>
      <protection/>
    </xf>
    <xf numFmtId="0" fontId="84" fillId="35" borderId="27" xfId="0" applyFont="1" applyFill="1" applyBorder="1" applyAlignment="1" applyProtection="1">
      <alignment vertical="center" wrapText="1"/>
      <protection/>
    </xf>
    <xf numFmtId="0" fontId="84" fillId="35" borderId="29" xfId="0" applyFont="1" applyFill="1" applyBorder="1" applyAlignment="1" applyProtection="1">
      <alignment vertical="center" wrapText="1"/>
      <protection/>
    </xf>
    <xf numFmtId="0" fontId="84" fillId="35" borderId="28" xfId="0" applyFont="1" applyFill="1" applyBorder="1" applyAlignment="1" applyProtection="1">
      <alignment vertical="center" wrapText="1"/>
      <protection/>
    </xf>
    <xf numFmtId="0" fontId="75" fillId="36" borderId="27" xfId="0" applyFont="1" applyFill="1" applyBorder="1" applyAlignment="1" applyProtection="1">
      <alignment vertical="center" wrapText="1"/>
      <protection locked="0"/>
    </xf>
    <xf numFmtId="0" fontId="75" fillId="36" borderId="29" xfId="0" applyFont="1" applyFill="1" applyBorder="1" applyAlignment="1" applyProtection="1">
      <alignment vertical="center" wrapText="1"/>
      <protection locked="0"/>
    </xf>
    <xf numFmtId="0" fontId="75" fillId="36" borderId="28" xfId="0" applyFont="1" applyFill="1" applyBorder="1" applyAlignment="1" applyProtection="1">
      <alignment vertical="center" wrapText="1"/>
      <protection locked="0"/>
    </xf>
    <xf numFmtId="0" fontId="75" fillId="0" borderId="27" xfId="0" applyFont="1" applyFill="1" applyBorder="1" applyAlignment="1" applyProtection="1">
      <alignment vertical="center" wrapText="1"/>
      <protection locked="0"/>
    </xf>
    <xf numFmtId="0" fontId="75" fillId="0" borderId="29" xfId="0" applyFont="1" applyFill="1" applyBorder="1" applyAlignment="1" applyProtection="1">
      <alignment vertical="center" wrapText="1"/>
      <protection locked="0"/>
    </xf>
    <xf numFmtId="0" fontId="75" fillId="0" borderId="28" xfId="0" applyFont="1" applyFill="1" applyBorder="1" applyAlignment="1" applyProtection="1">
      <alignment vertical="center" wrapText="1"/>
      <protection locked="0"/>
    </xf>
    <xf numFmtId="0" fontId="91" fillId="36" borderId="33" xfId="0" applyFont="1" applyFill="1" applyBorder="1" applyAlignment="1" applyProtection="1">
      <alignment horizontal="left" vertical="center" wrapText="1"/>
      <protection/>
    </xf>
    <xf numFmtId="0" fontId="91" fillId="36" borderId="23" xfId="0" applyFont="1" applyFill="1" applyBorder="1" applyAlignment="1" applyProtection="1">
      <alignment horizontal="left" vertical="center" wrapText="1"/>
      <protection/>
    </xf>
    <xf numFmtId="0" fontId="91" fillId="36" borderId="34" xfId="0" applyFont="1" applyFill="1" applyBorder="1" applyAlignment="1" applyProtection="1">
      <alignment horizontal="left" vertical="center" wrapText="1"/>
      <protection/>
    </xf>
    <xf numFmtId="0" fontId="91" fillId="36" borderId="12" xfId="0" applyFont="1" applyFill="1" applyBorder="1" applyAlignment="1" applyProtection="1">
      <alignment horizontal="left" vertical="center" wrapText="1"/>
      <protection/>
    </xf>
    <xf numFmtId="0" fontId="91" fillId="36" borderId="0" xfId="0" applyFont="1" applyFill="1" applyBorder="1" applyAlignment="1" applyProtection="1">
      <alignment horizontal="left" vertical="center" wrapText="1"/>
      <protection/>
    </xf>
    <xf numFmtId="0" fontId="91" fillId="36" borderId="35" xfId="0" applyFont="1" applyFill="1" applyBorder="1" applyAlignment="1" applyProtection="1">
      <alignment horizontal="left" vertical="center" wrapText="1"/>
      <protection/>
    </xf>
    <xf numFmtId="0" fontId="92" fillId="36" borderId="12" xfId="0" applyFont="1" applyFill="1" applyBorder="1" applyAlignment="1" applyProtection="1">
      <alignment horizontal="left" vertical="center" wrapText="1"/>
      <protection/>
    </xf>
    <xf numFmtId="0" fontId="92" fillId="36" borderId="0" xfId="0" applyFont="1" applyFill="1" applyBorder="1" applyAlignment="1" applyProtection="1">
      <alignment horizontal="left" vertical="center" wrapText="1"/>
      <protection/>
    </xf>
    <xf numFmtId="0" fontId="92" fillId="36" borderId="35" xfId="0" applyFont="1" applyFill="1" applyBorder="1" applyAlignment="1" applyProtection="1">
      <alignment horizontal="left" vertical="center" wrapText="1"/>
      <protection/>
    </xf>
    <xf numFmtId="0" fontId="92" fillId="36" borderId="36" xfId="0" applyFont="1" applyFill="1" applyBorder="1" applyAlignment="1" applyProtection="1">
      <alignment horizontal="left" vertical="center" wrapText="1"/>
      <protection/>
    </xf>
    <xf numFmtId="0" fontId="92" fillId="36" borderId="37" xfId="0" applyFont="1" applyFill="1" applyBorder="1" applyAlignment="1" applyProtection="1">
      <alignment horizontal="left" vertical="center" wrapText="1"/>
      <protection/>
    </xf>
    <xf numFmtId="0" fontId="87" fillId="36" borderId="36" xfId="0" applyFont="1" applyFill="1" applyBorder="1" applyAlignment="1" applyProtection="1">
      <alignment horizontal="left" vertical="center" wrapText="1"/>
      <protection/>
    </xf>
    <xf numFmtId="0" fontId="87" fillId="36" borderId="37" xfId="0" applyFont="1" applyFill="1" applyBorder="1" applyAlignment="1" applyProtection="1">
      <alignment horizontal="left" vertical="center" wrapText="1"/>
      <protection/>
    </xf>
    <xf numFmtId="0" fontId="83" fillId="37" borderId="27" xfId="0" applyFont="1" applyFill="1" applyBorder="1" applyAlignment="1" applyProtection="1">
      <alignment horizontal="center" vertical="center" wrapText="1"/>
      <protection/>
    </xf>
    <xf numFmtId="0" fontId="83" fillId="37" borderId="29" xfId="0" applyFont="1" applyFill="1" applyBorder="1" applyAlignment="1" applyProtection="1">
      <alignment horizontal="center" vertical="center" wrapText="1"/>
      <protection/>
    </xf>
    <xf numFmtId="0" fontId="83" fillId="37" borderId="28" xfId="0" applyFont="1" applyFill="1" applyBorder="1" applyAlignment="1" applyProtection="1">
      <alignment horizontal="center" vertical="center" wrapText="1"/>
      <protection/>
    </xf>
    <xf numFmtId="0" fontId="74" fillId="35" borderId="27" xfId="0" applyFont="1" applyFill="1" applyBorder="1" applyAlignment="1" applyProtection="1">
      <alignment vertical="top" wrapText="1"/>
      <protection/>
    </xf>
    <xf numFmtId="0" fontId="74" fillId="35" borderId="29" xfId="0" applyFont="1" applyFill="1" applyBorder="1" applyAlignment="1" applyProtection="1">
      <alignment vertical="top" wrapText="1"/>
      <protection/>
    </xf>
    <xf numFmtId="0" fontId="74" fillId="35" borderId="28" xfId="0" applyFont="1" applyFill="1" applyBorder="1" applyAlignment="1" applyProtection="1">
      <alignment vertical="top" wrapText="1"/>
      <protection/>
    </xf>
    <xf numFmtId="0" fontId="75" fillId="36" borderId="27" xfId="0" applyFont="1" applyFill="1" applyBorder="1" applyAlignment="1" applyProtection="1">
      <alignment horizontal="left" vertical="center" wrapText="1"/>
      <protection/>
    </xf>
    <xf numFmtId="0" fontId="75" fillId="36" borderId="29" xfId="0" applyFont="1" applyFill="1" applyBorder="1" applyAlignment="1" applyProtection="1">
      <alignment horizontal="left" vertical="center" wrapText="1"/>
      <protection/>
    </xf>
    <xf numFmtId="0" fontId="75" fillId="36" borderId="28" xfId="0" applyFont="1" applyFill="1" applyBorder="1" applyAlignment="1" applyProtection="1">
      <alignment horizontal="left" vertical="center" wrapText="1"/>
      <protection/>
    </xf>
    <xf numFmtId="0" fontId="75" fillId="36" borderId="17" xfId="0" applyFont="1" applyFill="1" applyBorder="1" applyAlignment="1" applyProtection="1">
      <alignment horizontal="left" vertical="top" wrapText="1"/>
      <protection/>
    </xf>
    <xf numFmtId="0" fontId="92" fillId="0" borderId="36" xfId="0" applyFont="1" applyFill="1" applyBorder="1" applyAlignment="1" applyProtection="1">
      <alignment horizontal="left" vertical="center" wrapText="1"/>
      <protection/>
    </xf>
    <xf numFmtId="0" fontId="92" fillId="0" borderId="37" xfId="0" applyFont="1" applyFill="1" applyBorder="1" applyAlignment="1" applyProtection="1">
      <alignment horizontal="left" vertical="center" wrapText="1"/>
      <protection/>
    </xf>
    <xf numFmtId="0" fontId="89" fillId="34" borderId="38" xfId="0" applyFont="1" applyFill="1" applyBorder="1" applyAlignment="1">
      <alignment horizontal="center" vertical="center" wrapText="1"/>
    </xf>
    <xf numFmtId="0" fontId="90" fillId="34" borderId="38" xfId="0" applyFont="1" applyFill="1" applyBorder="1" applyAlignment="1">
      <alignment horizontal="center" vertical="center" wrapText="1"/>
    </xf>
    <xf numFmtId="0" fontId="89" fillId="34" borderId="0" xfId="0" applyFont="1" applyFill="1" applyBorder="1" applyAlignment="1">
      <alignment horizontal="center" vertical="center" wrapText="1"/>
    </xf>
    <xf numFmtId="0" fontId="74" fillId="35" borderId="27" xfId="0" applyFont="1" applyFill="1" applyBorder="1" applyAlignment="1" applyProtection="1">
      <alignment horizontal="left" vertical="center" wrapText="1"/>
      <protection/>
    </xf>
    <xf numFmtId="0" fontId="74" fillId="35" borderId="29" xfId="0" applyFont="1" applyFill="1" applyBorder="1" applyAlignment="1" applyProtection="1">
      <alignment horizontal="left" vertical="center" wrapText="1"/>
      <protection/>
    </xf>
    <xf numFmtId="0" fontId="74" fillId="35" borderId="28" xfId="0" applyFont="1" applyFill="1" applyBorder="1" applyAlignment="1" applyProtection="1">
      <alignment horizontal="left" vertical="center" wrapText="1"/>
      <protection/>
    </xf>
    <xf numFmtId="0" fontId="74" fillId="35" borderId="39" xfId="0" applyFont="1" applyFill="1" applyBorder="1" applyAlignment="1" applyProtection="1">
      <alignment horizontal="center" vertical="center" wrapText="1"/>
      <protection/>
    </xf>
    <xf numFmtId="0" fontId="74" fillId="35" borderId="40" xfId="0" applyFont="1" applyFill="1" applyBorder="1" applyAlignment="1" applyProtection="1">
      <alignment horizontal="center" vertical="center" wrapText="1"/>
      <protection/>
    </xf>
    <xf numFmtId="0" fontId="74" fillId="35" borderId="41" xfId="0" applyFont="1" applyFill="1" applyBorder="1" applyAlignment="1" applyProtection="1">
      <alignment horizontal="center" vertical="center" wrapText="1"/>
      <protection/>
    </xf>
    <xf numFmtId="0" fontId="93" fillId="0" borderId="0" xfId="0" applyFont="1" applyFill="1" applyAlignment="1">
      <alignment horizontal="center" vertical="center" wrapText="1"/>
    </xf>
    <xf numFmtId="0" fontId="2" fillId="0" borderId="0" xfId="0" applyFont="1" applyBorder="1" applyAlignment="1">
      <alignment horizontal="center" vertical="center"/>
    </xf>
    <xf numFmtId="0" fontId="67" fillId="0" borderId="0" xfId="0" applyFont="1" applyFill="1" applyAlignment="1">
      <alignment horizontal="center" vertical="center" wrapText="1"/>
    </xf>
    <xf numFmtId="0" fontId="75" fillId="0" borderId="0" xfId="0" applyFont="1" applyFill="1" applyAlignment="1" applyProtection="1">
      <alignment vertical="center" wrapText="1"/>
      <protection/>
    </xf>
    <xf numFmtId="0" fontId="71" fillId="0" borderId="0" xfId="0" applyFont="1" applyFill="1" applyAlignment="1" applyProtection="1">
      <alignment vertical="center"/>
      <protection/>
    </xf>
    <xf numFmtId="0" fontId="73" fillId="0" borderId="27" xfId="0" applyFont="1" applyBorder="1" applyAlignment="1" applyProtection="1">
      <alignment horizontal="left" vertical="center"/>
      <protection locked="0"/>
    </xf>
    <xf numFmtId="0" fontId="73" fillId="0" borderId="29" xfId="0" applyFont="1" applyBorder="1" applyAlignment="1" applyProtection="1">
      <alignment horizontal="left" vertical="center"/>
      <protection locked="0"/>
    </xf>
    <xf numFmtId="0" fontId="73" fillId="0" borderId="28" xfId="0" applyFont="1" applyBorder="1" applyAlignment="1" applyProtection="1">
      <alignment horizontal="left" vertical="center"/>
      <protection locked="0"/>
    </xf>
    <xf numFmtId="0" fontId="75" fillId="0" borderId="17" xfId="0" applyFont="1" applyFill="1" applyBorder="1" applyAlignment="1" applyProtection="1">
      <alignment horizontal="left" vertical="center" wrapText="1"/>
      <protection locked="0"/>
    </xf>
    <xf numFmtId="0" fontId="75" fillId="36" borderId="27" xfId="0" applyFont="1" applyFill="1" applyBorder="1" applyAlignment="1" applyProtection="1">
      <alignment horizontal="justify" vertical="center" wrapText="1"/>
      <protection locked="0"/>
    </xf>
    <xf numFmtId="0" fontId="75" fillId="36" borderId="29" xfId="0" applyFont="1" applyFill="1" applyBorder="1" applyAlignment="1" applyProtection="1">
      <alignment horizontal="justify" vertical="center" wrapText="1"/>
      <protection locked="0"/>
    </xf>
    <xf numFmtId="0" fontId="75" fillId="36" borderId="28" xfId="0" applyFont="1" applyFill="1" applyBorder="1" applyAlignment="1" applyProtection="1">
      <alignment horizontal="justify" vertical="center" wrapText="1"/>
      <protection locked="0"/>
    </xf>
    <xf numFmtId="0" fontId="75" fillId="0" borderId="17" xfId="0" applyFont="1" applyFill="1" applyBorder="1" applyAlignment="1" applyProtection="1">
      <alignment horizontal="justify" vertical="center" wrapText="1"/>
      <protection locked="0"/>
    </xf>
    <xf numFmtId="0" fontId="75" fillId="36" borderId="17" xfId="0" applyFont="1" applyFill="1" applyBorder="1" applyAlignment="1" applyProtection="1">
      <alignment horizontal="justify" vertical="center" wrapText="1"/>
      <protection locked="0"/>
    </xf>
    <xf numFmtId="0" fontId="75" fillId="36" borderId="14" xfId="0" applyFont="1" applyFill="1" applyBorder="1" applyAlignment="1" quotePrefix="1">
      <alignment horizontal="left" vertical="center" wrapText="1"/>
    </xf>
    <xf numFmtId="0" fontId="73" fillId="0" borderId="27" xfId="0" applyFont="1" applyFill="1" applyBorder="1" applyAlignment="1" applyProtection="1">
      <alignment horizontal="left" vertical="center" wrapText="1"/>
      <protection/>
    </xf>
    <xf numFmtId="0" fontId="73" fillId="0" borderId="29" xfId="0" applyFont="1" applyFill="1" applyBorder="1" applyAlignment="1" applyProtection="1">
      <alignment horizontal="left" vertical="center" wrapText="1"/>
      <protection/>
    </xf>
    <xf numFmtId="0" fontId="73" fillId="0" borderId="28" xfId="0" applyFont="1" applyFill="1" applyBorder="1" applyAlignment="1" applyProtection="1">
      <alignment horizontal="left" vertical="center" wrapText="1"/>
      <protection/>
    </xf>
    <xf numFmtId="0" fontId="75" fillId="0" borderId="17" xfId="0" applyFont="1" applyFill="1" applyBorder="1" applyAlignment="1" applyProtection="1">
      <alignment horizontal="left" vertical="center" wrapText="1"/>
      <protection/>
    </xf>
    <xf numFmtId="0" fontId="93" fillId="0" borderId="0" xfId="0" applyFont="1" applyAlignment="1">
      <alignment horizontal="center" vertical="center" wrapText="1"/>
    </xf>
    <xf numFmtId="0" fontId="91" fillId="34" borderId="33" xfId="0" applyFont="1" applyFill="1" applyBorder="1" applyAlignment="1" applyProtection="1">
      <alignment horizontal="left" vertical="center" wrapText="1"/>
      <protection/>
    </xf>
    <xf numFmtId="0" fontId="91" fillId="34" borderId="23" xfId="0" applyFont="1" applyFill="1" applyBorder="1" applyAlignment="1" applyProtection="1">
      <alignment horizontal="left" vertical="center" wrapText="1"/>
      <protection/>
    </xf>
    <xf numFmtId="0" fontId="91" fillId="34" borderId="34" xfId="0" applyFont="1" applyFill="1" applyBorder="1" applyAlignment="1" applyProtection="1">
      <alignment horizontal="left" vertical="center" wrapText="1"/>
      <protection/>
    </xf>
    <xf numFmtId="0" fontId="91" fillId="34" borderId="12" xfId="0" applyFont="1" applyFill="1" applyBorder="1" applyAlignment="1" applyProtection="1">
      <alignment horizontal="left" vertical="center" wrapText="1"/>
      <protection/>
    </xf>
    <xf numFmtId="0" fontId="91" fillId="34" borderId="0" xfId="0" applyFont="1" applyFill="1" applyBorder="1" applyAlignment="1" applyProtection="1">
      <alignment horizontal="left" vertical="center" wrapText="1"/>
      <protection/>
    </xf>
    <xf numFmtId="0" fontId="91" fillId="34" borderId="35" xfId="0" applyFont="1" applyFill="1" applyBorder="1" applyAlignment="1" applyProtection="1">
      <alignment horizontal="left" vertical="center" wrapText="1"/>
      <protection/>
    </xf>
    <xf numFmtId="0" fontId="92" fillId="34" borderId="12" xfId="0" applyFont="1" applyFill="1" applyBorder="1" applyAlignment="1" applyProtection="1">
      <alignment horizontal="left" vertical="center" wrapText="1"/>
      <protection/>
    </xf>
    <xf numFmtId="0" fontId="92" fillId="34" borderId="0" xfId="0" applyFont="1" applyFill="1" applyBorder="1" applyAlignment="1" applyProtection="1">
      <alignment horizontal="left" vertical="center" wrapText="1"/>
      <protection/>
    </xf>
    <xf numFmtId="0" fontId="92" fillId="34" borderId="35" xfId="0" applyFont="1" applyFill="1" applyBorder="1" applyAlignment="1" applyProtection="1">
      <alignment horizontal="left" vertical="center" wrapText="1"/>
      <protection/>
    </xf>
    <xf numFmtId="0" fontId="92" fillId="34" borderId="36" xfId="0" applyFont="1" applyFill="1" applyBorder="1" applyAlignment="1" applyProtection="1">
      <alignment horizontal="left" vertical="center" wrapText="1"/>
      <protection/>
    </xf>
    <xf numFmtId="0" fontId="92" fillId="34" borderId="37" xfId="0" applyFont="1" applyFill="1" applyBorder="1" applyAlignment="1" applyProtection="1">
      <alignment horizontal="left" vertical="center" wrapText="1"/>
      <protection/>
    </xf>
    <xf numFmtId="0" fontId="79" fillId="0" borderId="0" xfId="0" applyFont="1" applyAlignment="1">
      <alignment horizontal="center" vertical="center" wrapText="1"/>
    </xf>
    <xf numFmtId="0" fontId="74" fillId="36" borderId="33" xfId="0" applyFont="1" applyFill="1" applyBorder="1" applyAlignment="1" applyProtection="1">
      <alignment horizontal="left" vertical="center" wrapText="1"/>
      <protection/>
    </xf>
    <xf numFmtId="0" fontId="74" fillId="36" borderId="23" xfId="0" applyFont="1" applyFill="1" applyBorder="1" applyAlignment="1" applyProtection="1">
      <alignment horizontal="left" vertical="center" wrapText="1"/>
      <protection/>
    </xf>
    <xf numFmtId="0" fontId="74" fillId="36" borderId="34" xfId="0" applyFont="1" applyFill="1" applyBorder="1" applyAlignment="1" applyProtection="1">
      <alignment horizontal="left" vertical="center" wrapText="1"/>
      <protection/>
    </xf>
    <xf numFmtId="0" fontId="74" fillId="36" borderId="12" xfId="0" applyFont="1" applyFill="1" applyBorder="1" applyAlignment="1" applyProtection="1">
      <alignment horizontal="left" vertical="center" wrapText="1"/>
      <protection/>
    </xf>
    <xf numFmtId="0" fontId="74" fillId="36" borderId="0" xfId="0" applyFont="1" applyFill="1" applyBorder="1" applyAlignment="1" applyProtection="1">
      <alignment horizontal="left" vertical="center" wrapText="1"/>
      <protection/>
    </xf>
    <xf numFmtId="0" fontId="74" fillId="36" borderId="35" xfId="0" applyFont="1" applyFill="1" applyBorder="1" applyAlignment="1" applyProtection="1">
      <alignment horizontal="left" vertical="center" wrapText="1"/>
      <protection/>
    </xf>
    <xf numFmtId="0" fontId="75" fillId="36" borderId="12" xfId="0" applyFont="1" applyFill="1" applyBorder="1" applyAlignment="1" applyProtection="1">
      <alignment horizontal="left" vertical="center" wrapText="1"/>
      <protection/>
    </xf>
    <xf numFmtId="0" fontId="75" fillId="36" borderId="0" xfId="0" applyFont="1" applyFill="1" applyBorder="1" applyAlignment="1" applyProtection="1">
      <alignment horizontal="left" vertical="center" wrapText="1"/>
      <protection/>
    </xf>
    <xf numFmtId="0" fontId="75" fillId="36" borderId="35" xfId="0" applyFont="1" applyFill="1" applyBorder="1" applyAlignment="1" applyProtection="1">
      <alignment horizontal="left" vertical="center" wrapText="1"/>
      <protection/>
    </xf>
    <xf numFmtId="0" fontId="75" fillId="36" borderId="36" xfId="0" applyFont="1" applyFill="1" applyBorder="1" applyAlignment="1" applyProtection="1">
      <alignment horizontal="left" vertical="center" wrapText="1"/>
      <protection/>
    </xf>
    <xf numFmtId="0" fontId="75" fillId="36" borderId="37" xfId="0" applyFont="1" applyFill="1" applyBorder="1" applyAlignment="1" applyProtection="1">
      <alignment horizontal="left" vertical="center" wrapText="1"/>
      <protection/>
    </xf>
    <xf numFmtId="0" fontId="75" fillId="36" borderId="24" xfId="0" applyFont="1" applyFill="1" applyBorder="1" applyAlignment="1">
      <alignment vertical="center" wrapText="1"/>
    </xf>
    <xf numFmtId="0" fontId="75" fillId="36" borderId="25" xfId="0" applyFont="1" applyFill="1" applyBorder="1" applyAlignment="1">
      <alignment vertical="center" wrapText="1"/>
    </xf>
    <xf numFmtId="0" fontId="75" fillId="36" borderId="26" xfId="0" applyFont="1" applyFill="1" applyBorder="1" applyAlignment="1">
      <alignment vertical="center" wrapText="1"/>
    </xf>
    <xf numFmtId="0" fontId="84" fillId="35" borderId="17" xfId="0" applyFont="1" applyFill="1" applyBorder="1" applyAlignment="1" applyProtection="1">
      <alignment horizontal="justify" vertical="center" wrapText="1"/>
      <protection/>
    </xf>
    <xf numFmtId="0" fontId="74" fillId="35" borderId="17" xfId="0" applyFont="1" applyFill="1" applyBorder="1" applyAlignment="1" applyProtection="1">
      <alignment horizontal="justify" vertical="center" wrapText="1"/>
      <protection/>
    </xf>
    <xf numFmtId="0" fontId="75" fillId="34" borderId="17" xfId="0" applyFont="1" applyFill="1" applyBorder="1" applyAlignment="1" applyProtection="1">
      <alignment horizontal="left" vertical="center" wrapText="1"/>
      <protection locked="0"/>
    </xf>
    <xf numFmtId="0" fontId="75" fillId="34" borderId="17" xfId="0" applyFont="1" applyFill="1" applyBorder="1" applyAlignment="1" applyProtection="1">
      <alignment vertical="center" wrapText="1"/>
      <protection locked="0"/>
    </xf>
    <xf numFmtId="0" fontId="74" fillId="35" borderId="27" xfId="0" applyFont="1" applyFill="1" applyBorder="1" applyAlignment="1" applyProtection="1">
      <alignment horizontal="center" vertical="center" wrapText="1"/>
      <protection/>
    </xf>
    <xf numFmtId="0" fontId="74" fillId="35" borderId="28" xfId="0" applyFont="1" applyFill="1" applyBorder="1" applyAlignment="1" applyProtection="1">
      <alignment horizontal="center" vertical="center" wrapText="1"/>
      <protection/>
    </xf>
    <xf numFmtId="4" fontId="3" fillId="0" borderId="42" xfId="0" applyNumberFormat="1" applyFont="1" applyFill="1" applyBorder="1" applyAlignment="1" applyProtection="1">
      <alignment horizontal="center" vertical="center" wrapText="1"/>
      <protection locked="0"/>
    </xf>
    <xf numFmtId="4" fontId="3" fillId="0" borderId="43" xfId="0" applyNumberFormat="1" applyFont="1" applyFill="1" applyBorder="1" applyAlignment="1" applyProtection="1">
      <alignment horizontal="center" vertical="center" wrapText="1"/>
      <protection locked="0"/>
    </xf>
    <xf numFmtId="9" fontId="3" fillId="33" borderId="42" xfId="56" applyFont="1" applyFill="1" applyBorder="1" applyAlignment="1" applyProtection="1">
      <alignment horizontal="center" vertical="center" wrapText="1"/>
      <protection/>
    </xf>
    <xf numFmtId="9" fontId="3" fillId="33" borderId="44" xfId="56" applyFont="1" applyFill="1" applyBorder="1" applyAlignment="1" applyProtection="1">
      <alignment horizontal="center" vertical="center" wrapText="1"/>
      <protection/>
    </xf>
    <xf numFmtId="9" fontId="3" fillId="33" borderId="43" xfId="56"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94" fillId="0" borderId="42" xfId="0" applyFont="1" applyFill="1" applyBorder="1" applyAlignment="1" applyProtection="1">
      <alignment horizontal="left" vertical="top"/>
      <protection locked="0"/>
    </xf>
    <xf numFmtId="0" fontId="94" fillId="0" borderId="44" xfId="0" applyFont="1" applyFill="1" applyBorder="1" applyAlignment="1" applyProtection="1">
      <alignment horizontal="left" vertical="top"/>
      <protection locked="0"/>
    </xf>
    <xf numFmtId="0" fontId="94" fillId="0" borderId="43" xfId="0" applyFont="1" applyFill="1" applyBorder="1" applyAlignment="1" applyProtection="1">
      <alignment horizontal="left" vertical="top"/>
      <protection locked="0"/>
    </xf>
    <xf numFmtId="0" fontId="3" fillId="34" borderId="42" xfId="56" applyNumberFormat="1" applyFont="1" applyFill="1" applyBorder="1" applyAlignment="1" applyProtection="1">
      <alignment horizontal="center" vertical="center" wrapText="1"/>
      <protection/>
    </xf>
    <xf numFmtId="0" fontId="3" fillId="34" borderId="44" xfId="56" applyNumberFormat="1" applyFont="1" applyFill="1" applyBorder="1" applyAlignment="1" applyProtection="1">
      <alignment horizontal="center" vertical="center" wrapText="1"/>
      <protection/>
    </xf>
    <xf numFmtId="0" fontId="3" fillId="34" borderId="43" xfId="56" applyNumberFormat="1" applyFont="1" applyFill="1" applyBorder="1" applyAlignment="1" applyProtection="1">
      <alignment horizontal="center" vertical="center" wrapText="1"/>
      <protection/>
    </xf>
    <xf numFmtId="0" fontId="70" fillId="0" borderId="42" xfId="0" applyFont="1" applyBorder="1" applyAlignment="1" applyProtection="1">
      <alignment horizontal="center" vertical="center" wrapText="1"/>
      <protection/>
    </xf>
    <xf numFmtId="0" fontId="70" fillId="0" borderId="43" xfId="0" applyFont="1" applyBorder="1" applyAlignment="1" applyProtection="1">
      <alignment horizontal="center" vertical="center" wrapText="1"/>
      <protection/>
    </xf>
    <xf numFmtId="4" fontId="3" fillId="0" borderId="42" xfId="56" applyNumberFormat="1" applyFont="1" applyFill="1" applyBorder="1" applyAlignment="1" applyProtection="1">
      <alignment horizontal="center" vertical="center" wrapText="1"/>
      <protection locked="0"/>
    </xf>
    <xf numFmtId="4" fontId="3" fillId="0" borderId="44" xfId="56" applyNumberFormat="1" applyFont="1" applyFill="1" applyBorder="1" applyAlignment="1" applyProtection="1">
      <alignment horizontal="center" vertical="center" wrapText="1"/>
      <protection locked="0"/>
    </xf>
    <xf numFmtId="4" fontId="3" fillId="0" borderId="43" xfId="56" applyNumberFormat="1" applyFont="1" applyFill="1" applyBorder="1" applyAlignment="1" applyProtection="1">
      <alignment horizontal="center" vertical="center" wrapText="1"/>
      <protection locked="0"/>
    </xf>
    <xf numFmtId="0" fontId="3" fillId="0" borderId="42" xfId="0" applyFont="1" applyFill="1" applyBorder="1" applyAlignment="1" applyProtection="1">
      <alignment horizontal="justify" vertical="center" wrapText="1"/>
      <protection locked="0"/>
    </xf>
    <xf numFmtId="0" fontId="3" fillId="0" borderId="44"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0" fontId="3" fillId="0" borderId="42" xfId="0" applyFont="1" applyFill="1" applyBorder="1" applyAlignment="1" applyProtection="1">
      <alignment horizontal="right" vertical="center" wrapText="1"/>
      <protection/>
    </xf>
    <xf numFmtId="0" fontId="3" fillId="0" borderId="44" xfId="0" applyFont="1" applyFill="1" applyBorder="1" applyAlignment="1" applyProtection="1">
      <alignment horizontal="right" vertical="center" wrapText="1"/>
      <protection/>
    </xf>
    <xf numFmtId="0" fontId="3" fillId="0" borderId="43" xfId="0" applyFont="1" applyFill="1" applyBorder="1" applyAlignment="1" applyProtection="1">
      <alignment horizontal="right" vertical="center" wrapText="1"/>
      <protection/>
    </xf>
    <xf numFmtId="174" fontId="3" fillId="0" borderId="42" xfId="0" applyNumberFormat="1" applyFont="1" applyFill="1" applyBorder="1" applyAlignment="1" applyProtection="1">
      <alignment horizontal="center" vertical="center" wrapText="1"/>
      <protection/>
    </xf>
    <xf numFmtId="174" fontId="3" fillId="0" borderId="44" xfId="0" applyNumberFormat="1" applyFont="1" applyFill="1" applyBorder="1" applyAlignment="1" applyProtection="1">
      <alignment horizontal="center" vertical="center" wrapText="1"/>
      <protection/>
    </xf>
    <xf numFmtId="174" fontId="3" fillId="0" borderId="43" xfId="0" applyNumberFormat="1" applyFont="1" applyFill="1" applyBorder="1" applyAlignment="1" applyProtection="1">
      <alignment horizontal="center" vertical="center" wrapText="1"/>
      <protection/>
    </xf>
    <xf numFmtId="4" fontId="3" fillId="0" borderId="42" xfId="0" applyNumberFormat="1" applyFont="1" applyFill="1" applyBorder="1" applyAlignment="1" applyProtection="1">
      <alignment horizontal="center" vertical="center" wrapText="1"/>
      <protection/>
    </xf>
    <xf numFmtId="4" fontId="3" fillId="0" borderId="43" xfId="0" applyNumberFormat="1" applyFont="1" applyFill="1" applyBorder="1" applyAlignment="1" applyProtection="1">
      <alignment horizontal="center" vertical="center" wrapText="1"/>
      <protection/>
    </xf>
    <xf numFmtId="172" fontId="3" fillId="0" borderId="42" xfId="0" applyNumberFormat="1" applyFont="1" applyFill="1" applyBorder="1" applyAlignment="1" applyProtection="1">
      <alignment horizontal="center" vertical="center" wrapText="1"/>
      <protection/>
    </xf>
    <xf numFmtId="172" fontId="3" fillId="0" borderId="43" xfId="0" applyNumberFormat="1" applyFont="1" applyFill="1" applyBorder="1" applyAlignment="1" applyProtection="1">
      <alignment horizontal="center" vertical="center" wrapText="1"/>
      <protection/>
    </xf>
    <xf numFmtId="0" fontId="3" fillId="33" borderId="42" xfId="0" applyFont="1" applyFill="1" applyBorder="1" applyAlignment="1" applyProtection="1">
      <alignment horizontal="left" vertical="center" wrapText="1"/>
      <protection/>
    </xf>
    <xf numFmtId="0" fontId="3" fillId="33" borderId="44" xfId="0" applyFont="1" applyFill="1" applyBorder="1" applyAlignment="1" applyProtection="1">
      <alignment horizontal="left" vertical="center" wrapText="1"/>
      <protection/>
    </xf>
    <xf numFmtId="0" fontId="3" fillId="33" borderId="43" xfId="0" applyFont="1" applyFill="1" applyBorder="1" applyAlignment="1" applyProtection="1">
      <alignment horizontal="left" vertical="center" wrapText="1"/>
      <protection/>
    </xf>
    <xf numFmtId="0" fontId="3" fillId="0" borderId="42"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36" borderId="42" xfId="0" applyFont="1" applyFill="1" applyBorder="1" applyAlignment="1" applyProtection="1">
      <alignment vertical="center" wrapText="1"/>
      <protection/>
    </xf>
    <xf numFmtId="0" fontId="3" fillId="36" borderId="44" xfId="0" applyFont="1" applyFill="1" applyBorder="1" applyAlignment="1" applyProtection="1">
      <alignment vertical="center" wrapText="1"/>
      <protection/>
    </xf>
    <xf numFmtId="0" fontId="3" fillId="36" borderId="43" xfId="0" applyFont="1" applyFill="1" applyBorder="1" applyAlignment="1" applyProtection="1">
      <alignmen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theme="0"/>
      </font>
      <fill>
        <patternFill>
          <bgColor theme="0" tint="-0.4999699890613556"/>
        </patternFill>
      </fill>
    </dxf>
    <dxf>
      <font>
        <color theme="0"/>
      </font>
      <fill>
        <patternFill>
          <bgColor theme="0" tint="-0.4999699890613556"/>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853F"/>
  </sheetPr>
  <dimension ref="A2:G24"/>
  <sheetViews>
    <sheetView showGridLines="0" tabSelected="1" zoomScalePageLayoutView="0" workbookViewId="0" topLeftCell="A1">
      <selection activeCell="A29" sqref="A29:A30"/>
    </sheetView>
  </sheetViews>
  <sheetFormatPr defaultColWidth="11.421875" defaultRowHeight="15"/>
  <cols>
    <col min="1" max="2" width="45.7109375" style="13" bestFit="1" customWidth="1"/>
    <col min="3" max="3" width="40.140625" style="13" customWidth="1"/>
    <col min="4" max="4" width="29.28125" style="13" customWidth="1"/>
    <col min="5" max="5" width="17.8515625" style="13" customWidth="1"/>
    <col min="6" max="16384" width="11.421875" style="13" customWidth="1"/>
  </cols>
  <sheetData>
    <row r="2" spans="1:5" ht="25.5" customHeight="1">
      <c r="A2" s="78" t="s">
        <v>0</v>
      </c>
      <c r="B2" s="79"/>
      <c r="C2" s="82" t="s">
        <v>81</v>
      </c>
      <c r="D2" s="82"/>
      <c r="E2" s="82"/>
    </row>
    <row r="3" spans="1:5" ht="25.5" customHeight="1" thickBot="1">
      <c r="A3" s="80"/>
      <c r="B3" s="81"/>
      <c r="C3" s="83"/>
      <c r="D3" s="83"/>
      <c r="E3" s="83"/>
    </row>
    <row r="4" ht="16.5" thickTop="1"/>
    <row r="6" spans="1:6" ht="15.75" customHeight="1">
      <c r="A6" s="85" t="s">
        <v>1860</v>
      </c>
      <c r="B6" s="85"/>
      <c r="C6" s="85"/>
      <c r="D6" s="85"/>
      <c r="E6" s="85"/>
      <c r="F6" s="72"/>
    </row>
    <row r="7" spans="1:6" ht="15.75" customHeight="1">
      <c r="A7" s="85"/>
      <c r="B7" s="85"/>
      <c r="C7" s="85"/>
      <c r="D7" s="85"/>
      <c r="E7" s="85"/>
      <c r="F7" s="72"/>
    </row>
    <row r="8" spans="1:6" ht="30" customHeight="1">
      <c r="A8" s="85"/>
      <c r="B8" s="85"/>
      <c r="C8" s="85"/>
      <c r="D8" s="85"/>
      <c r="E8" s="85"/>
      <c r="F8" s="72"/>
    </row>
    <row r="9" spans="1:6" ht="30" customHeight="1">
      <c r="A9" s="85"/>
      <c r="B9" s="85"/>
      <c r="C9" s="85"/>
      <c r="D9" s="85"/>
      <c r="E9" s="85"/>
      <c r="F9" s="72"/>
    </row>
    <row r="10" spans="1:6" ht="33">
      <c r="A10" s="86" t="s">
        <v>1861</v>
      </c>
      <c r="B10" s="86"/>
      <c r="C10" s="86"/>
      <c r="D10" s="86"/>
      <c r="E10" s="86"/>
      <c r="F10" s="86"/>
    </row>
    <row r="11" spans="1:5" ht="15.75" customHeight="1">
      <c r="A11" s="73"/>
      <c r="B11" s="73"/>
      <c r="C11" s="73"/>
      <c r="D11" s="73"/>
      <c r="E11" s="73"/>
    </row>
    <row r="12" spans="1:6" ht="15.75" customHeight="1">
      <c r="A12" s="77" t="s">
        <v>1862</v>
      </c>
      <c r="B12" s="77"/>
      <c r="C12" s="77"/>
      <c r="D12" s="77"/>
      <c r="E12" s="77"/>
      <c r="F12" s="17"/>
    </row>
    <row r="13" spans="1:6" ht="15.75" customHeight="1">
      <c r="A13" s="77"/>
      <c r="B13" s="77"/>
      <c r="C13" s="77"/>
      <c r="D13" s="77"/>
      <c r="E13" s="77"/>
      <c r="F13" s="17"/>
    </row>
    <row r="14" spans="1:6" ht="15.75" customHeight="1">
      <c r="A14" s="77"/>
      <c r="B14" s="77"/>
      <c r="C14" s="77"/>
      <c r="D14" s="77"/>
      <c r="E14" s="77"/>
      <c r="F14" s="17"/>
    </row>
    <row r="15" spans="1:6" ht="15.75" customHeight="1">
      <c r="A15" s="77"/>
      <c r="B15" s="77"/>
      <c r="C15" s="77"/>
      <c r="D15" s="77"/>
      <c r="E15" s="77"/>
      <c r="F15" s="17"/>
    </row>
    <row r="16" spans="1:6" ht="15.75" customHeight="1">
      <c r="A16" s="77"/>
      <c r="B16" s="77"/>
      <c r="C16" s="77"/>
      <c r="D16" s="77"/>
      <c r="E16" s="77"/>
      <c r="F16" s="17"/>
    </row>
    <row r="17" spans="1:6" ht="15.75" customHeight="1">
      <c r="A17" s="77"/>
      <c r="B17" s="77"/>
      <c r="C17" s="77"/>
      <c r="D17" s="77"/>
      <c r="E17" s="77"/>
      <c r="F17" s="17"/>
    </row>
    <row r="18" spans="1:5" ht="15.75" customHeight="1">
      <c r="A18" s="84"/>
      <c r="B18" s="84"/>
      <c r="C18" s="84"/>
      <c r="D18" s="84"/>
      <c r="E18" s="84"/>
    </row>
    <row r="19" spans="1:7" s="15" customFormat="1" ht="15.75" customHeight="1">
      <c r="A19" s="13"/>
      <c r="B19" s="14" t="s">
        <v>1</v>
      </c>
      <c r="C19" s="14" t="s">
        <v>9</v>
      </c>
      <c r="D19" s="14" t="s">
        <v>10</v>
      </c>
      <c r="G19" s="16"/>
    </row>
    <row r="20" spans="1:7" s="15" customFormat="1" ht="15.75" customHeight="1">
      <c r="A20" s="13"/>
      <c r="B20" s="14" t="s">
        <v>2</v>
      </c>
      <c r="C20" s="14" t="s">
        <v>2</v>
      </c>
      <c r="D20" s="14" t="s">
        <v>11</v>
      </c>
      <c r="G20" s="16"/>
    </row>
    <row r="21" spans="1:7" s="15" customFormat="1" ht="15.75" customHeight="1">
      <c r="A21" s="13"/>
      <c r="B21" s="14"/>
      <c r="C21" s="14"/>
      <c r="D21" s="14"/>
      <c r="G21" s="16"/>
    </row>
    <row r="22" spans="1:7" s="15" customFormat="1" ht="15.75" customHeight="1">
      <c r="A22" s="17" t="s">
        <v>3</v>
      </c>
      <c r="B22" s="18">
        <v>955.861356</v>
      </c>
      <c r="C22" s="18">
        <v>896.9312011100002</v>
      </c>
      <c r="D22" s="19">
        <f>(C22)/B22</f>
        <v>0.9383486375716608</v>
      </c>
      <c r="G22" s="16"/>
    </row>
    <row r="23" spans="1:7" s="15" customFormat="1" ht="21">
      <c r="A23" s="17" t="s">
        <v>4</v>
      </c>
      <c r="B23" s="18">
        <v>896.93120111</v>
      </c>
      <c r="C23" s="18">
        <v>896.9312011100002</v>
      </c>
      <c r="D23" s="19">
        <f>(C23)/B23</f>
        <v>1.0000000000000002</v>
      </c>
      <c r="G23" s="16"/>
    </row>
    <row r="24" spans="2:4" ht="15.75">
      <c r="B24" s="20"/>
      <c r="C24" s="20"/>
      <c r="D24" s="20"/>
    </row>
  </sheetData>
  <sheetProtection/>
  <mergeCells count="6">
    <mergeCell ref="A12:E17"/>
    <mergeCell ref="A2:B3"/>
    <mergeCell ref="C2:E3"/>
    <mergeCell ref="A18:E18"/>
    <mergeCell ref="A6:E9"/>
    <mergeCell ref="A10:F10"/>
  </mergeCells>
  <printOptions horizontalCentered="1"/>
  <pageMargins left="0.7480314960629921" right="0.7480314960629921" top="0.984251968503937" bottom="0.984251968503937" header="0.5118110236220472" footer="0.5118110236220472"/>
  <pageSetup horizontalDpi="600" verticalDpi="600" orientation="landscape" scale="63" r:id="rId1"/>
</worksheet>
</file>

<file path=xl/worksheets/sheet10.xml><?xml version="1.0" encoding="utf-8"?>
<worksheet xmlns="http://schemas.openxmlformats.org/spreadsheetml/2006/main" xmlns:r="http://schemas.openxmlformats.org/officeDocument/2006/relationships">
  <dimension ref="A1:G95"/>
  <sheetViews>
    <sheetView tabSelected="1" view="pageBreakPreview" zoomScale="60" zoomScalePageLayoutView="0" workbookViewId="0" topLeftCell="A61">
      <selection activeCell="A29" sqref="A29:A30"/>
    </sheetView>
  </sheetViews>
  <sheetFormatPr defaultColWidth="11.421875" defaultRowHeight="15"/>
  <cols>
    <col min="1" max="3" width="45.7109375" style="60" customWidth="1"/>
    <col min="4" max="4" width="17.140625" style="60" customWidth="1"/>
    <col min="5" max="5" width="26.140625" style="60" customWidth="1"/>
    <col min="6" max="6" width="41.8515625" style="60" customWidth="1"/>
    <col min="7" max="7" width="13.28125" style="60" customWidth="1"/>
    <col min="8" max="16384" width="11.421875" style="60" customWidth="1"/>
  </cols>
  <sheetData>
    <row r="1" spans="1:7" s="58" customFormat="1" ht="34.5">
      <c r="A1" s="143" t="s">
        <v>81</v>
      </c>
      <c r="B1" s="144"/>
      <c r="C1" s="144"/>
      <c r="D1" s="144"/>
      <c r="E1" s="144"/>
      <c r="F1" s="144"/>
      <c r="G1" s="144"/>
    </row>
    <row r="2" spans="1:7" s="58" customFormat="1" ht="37.5">
      <c r="A2" s="145" t="s">
        <v>82</v>
      </c>
      <c r="B2" s="145"/>
      <c r="C2" s="145"/>
      <c r="D2" s="145"/>
      <c r="E2" s="145"/>
      <c r="F2" s="145"/>
      <c r="G2" s="145"/>
    </row>
    <row r="3" s="59" customFormat="1" ht="11.25"/>
    <row r="4" spans="1:7" ht="15.75">
      <c r="A4" s="107" t="s">
        <v>83</v>
      </c>
      <c r="B4" s="108"/>
      <c r="C4" s="108"/>
      <c r="D4" s="108"/>
      <c r="E4" s="108"/>
      <c r="F4" s="108"/>
      <c r="G4" s="109"/>
    </row>
    <row r="5" spans="1:7" ht="31.5" customHeight="1">
      <c r="A5" s="137" t="s">
        <v>84</v>
      </c>
      <c r="B5" s="138"/>
      <c r="C5" s="139"/>
      <c r="D5" s="140" t="s">
        <v>968</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969</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62"/>
      <c r="B15" s="182" t="s">
        <v>971</v>
      </c>
      <c r="C15" s="182"/>
      <c r="D15" s="182"/>
      <c r="E15" s="182"/>
      <c r="F15" s="182"/>
      <c r="G15" s="183"/>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 r="A29" s="104" t="s">
        <v>119</v>
      </c>
      <c r="B29" s="104" t="s">
        <v>120</v>
      </c>
      <c r="C29" s="104" t="s">
        <v>65</v>
      </c>
      <c r="D29" s="104" t="s">
        <v>121</v>
      </c>
      <c r="E29" s="104" t="s">
        <v>122</v>
      </c>
      <c r="F29" s="45" t="s">
        <v>123</v>
      </c>
      <c r="G29" s="46">
        <v>185</v>
      </c>
    </row>
    <row r="30" spans="1:7" ht="15.75">
      <c r="A30" s="105"/>
      <c r="B30" s="105"/>
      <c r="C30" s="105"/>
      <c r="D30" s="105"/>
      <c r="E30" s="105"/>
      <c r="F30" s="45" t="s">
        <v>124</v>
      </c>
      <c r="G30" s="46">
        <v>185</v>
      </c>
    </row>
    <row r="31" spans="1:7" ht="126.75" customHeight="1">
      <c r="A31" s="100" t="s">
        <v>972</v>
      </c>
      <c r="B31" s="100" t="s">
        <v>973</v>
      </c>
      <c r="C31" s="100" t="s">
        <v>974</v>
      </c>
      <c r="D31" s="102" t="s">
        <v>975</v>
      </c>
      <c r="E31" s="102" t="s">
        <v>135</v>
      </c>
      <c r="F31" s="45" t="s">
        <v>130</v>
      </c>
      <c r="G31" s="47">
        <f>((1186+9803)/(8+70))</f>
        <v>140.8846153846154</v>
      </c>
    </row>
    <row r="32" spans="1:7" ht="126.75" customHeight="1">
      <c r="A32" s="101"/>
      <c r="B32" s="101"/>
      <c r="C32" s="101"/>
      <c r="D32" s="103"/>
      <c r="E32" s="103"/>
      <c r="F32" s="45" t="s">
        <v>131</v>
      </c>
      <c r="G32" s="47">
        <v>123.84615384615385</v>
      </c>
    </row>
    <row r="33" spans="1:7" ht="15.75">
      <c r="A33" s="96" t="s">
        <v>288</v>
      </c>
      <c r="B33" s="96"/>
      <c r="C33" s="96"/>
      <c r="D33" s="96"/>
      <c r="E33" s="96"/>
      <c r="F33" s="96"/>
      <c r="G33" s="96"/>
    </row>
    <row r="34" spans="1:7" ht="15.75">
      <c r="A34" s="106" t="s">
        <v>976</v>
      </c>
      <c r="B34" s="106"/>
      <c r="C34" s="106"/>
      <c r="D34" s="106"/>
      <c r="E34" s="106"/>
      <c r="F34" s="106" t="s">
        <v>977</v>
      </c>
      <c r="G34" s="106"/>
    </row>
    <row r="35" spans="1:7" ht="15.75">
      <c r="A35" s="104" t="s">
        <v>119</v>
      </c>
      <c r="B35" s="104" t="s">
        <v>120</v>
      </c>
      <c r="C35" s="104" t="s">
        <v>65</v>
      </c>
      <c r="D35" s="104" t="s">
        <v>121</v>
      </c>
      <c r="E35" s="104" t="s">
        <v>122</v>
      </c>
      <c r="F35" s="45" t="s">
        <v>123</v>
      </c>
      <c r="G35" s="46">
        <v>15</v>
      </c>
    </row>
    <row r="36" spans="1:7" ht="15.75">
      <c r="A36" s="105"/>
      <c r="B36" s="105"/>
      <c r="C36" s="105"/>
      <c r="D36" s="105"/>
      <c r="E36" s="105"/>
      <c r="F36" s="45" t="s">
        <v>124</v>
      </c>
      <c r="G36" s="46">
        <v>15</v>
      </c>
    </row>
    <row r="37" spans="1:7" ht="29.25" customHeight="1">
      <c r="A37" s="100" t="s">
        <v>978</v>
      </c>
      <c r="B37" s="100" t="s">
        <v>979</v>
      </c>
      <c r="C37" s="100" t="s">
        <v>980</v>
      </c>
      <c r="D37" s="102" t="s">
        <v>5</v>
      </c>
      <c r="E37" s="102" t="s">
        <v>129</v>
      </c>
      <c r="F37" s="45" t="s">
        <v>130</v>
      </c>
      <c r="G37" s="47">
        <f>(85/409)*100</f>
        <v>20.78239608801956</v>
      </c>
    </row>
    <row r="38" spans="1:7" ht="29.25" customHeight="1">
      <c r="A38" s="101"/>
      <c r="B38" s="101"/>
      <c r="C38" s="101"/>
      <c r="D38" s="103"/>
      <c r="E38" s="103"/>
      <c r="F38" s="45" t="s">
        <v>131</v>
      </c>
      <c r="G38" s="47">
        <v>138.54930725346372</v>
      </c>
    </row>
    <row r="39" spans="1:7" ht="15.75">
      <c r="A39" s="104" t="s">
        <v>119</v>
      </c>
      <c r="B39" s="104" t="s">
        <v>120</v>
      </c>
      <c r="C39" s="104" t="s">
        <v>65</v>
      </c>
      <c r="D39" s="104" t="s">
        <v>121</v>
      </c>
      <c r="E39" s="104" t="s">
        <v>122</v>
      </c>
      <c r="F39" s="45" t="s">
        <v>123</v>
      </c>
      <c r="G39" s="46">
        <v>95</v>
      </c>
    </row>
    <row r="40" spans="1:7" ht="15.75">
      <c r="A40" s="105"/>
      <c r="B40" s="105"/>
      <c r="C40" s="105"/>
      <c r="D40" s="105"/>
      <c r="E40" s="105"/>
      <c r="F40" s="45" t="s">
        <v>124</v>
      </c>
      <c r="G40" s="46">
        <v>95</v>
      </c>
    </row>
    <row r="41" spans="1:7" ht="30" customHeight="1">
      <c r="A41" s="100" t="s">
        <v>981</v>
      </c>
      <c r="B41" s="100" t="s">
        <v>979</v>
      </c>
      <c r="C41" s="100" t="s">
        <v>982</v>
      </c>
      <c r="D41" s="102" t="s">
        <v>5</v>
      </c>
      <c r="E41" s="102" t="s">
        <v>129</v>
      </c>
      <c r="F41" s="45" t="s">
        <v>130</v>
      </c>
      <c r="G41" s="47">
        <f>(45/45)*100</f>
        <v>100</v>
      </c>
    </row>
    <row r="42" spans="1:7" ht="30" customHeight="1">
      <c r="A42" s="101"/>
      <c r="B42" s="101"/>
      <c r="C42" s="101"/>
      <c r="D42" s="103"/>
      <c r="E42" s="103"/>
      <c r="F42" s="45" t="s">
        <v>131</v>
      </c>
      <c r="G42" s="47">
        <v>105.26315789473684</v>
      </c>
    </row>
    <row r="43" spans="1:7" ht="15.75">
      <c r="A43" s="96" t="s">
        <v>293</v>
      </c>
      <c r="B43" s="96"/>
      <c r="C43" s="96"/>
      <c r="D43" s="96"/>
      <c r="E43" s="96"/>
      <c r="F43" s="96"/>
      <c r="G43" s="96"/>
    </row>
    <row r="44" spans="1:7" ht="15.75">
      <c r="A44" s="106" t="s">
        <v>976</v>
      </c>
      <c r="B44" s="106"/>
      <c r="C44" s="106"/>
      <c r="D44" s="106"/>
      <c r="E44" s="106"/>
      <c r="F44" s="106" t="s">
        <v>977</v>
      </c>
      <c r="G44" s="106"/>
    </row>
    <row r="45" spans="1:7" ht="15.75">
      <c r="A45" s="104" t="s">
        <v>119</v>
      </c>
      <c r="B45" s="104" t="s">
        <v>120</v>
      </c>
      <c r="C45" s="104" t="s">
        <v>65</v>
      </c>
      <c r="D45" s="104" t="s">
        <v>121</v>
      </c>
      <c r="E45" s="104" t="s">
        <v>122</v>
      </c>
      <c r="F45" s="45" t="s">
        <v>123</v>
      </c>
      <c r="G45" s="46">
        <v>85</v>
      </c>
    </row>
    <row r="46" spans="1:7" ht="15.75">
      <c r="A46" s="105"/>
      <c r="B46" s="105"/>
      <c r="C46" s="105"/>
      <c r="D46" s="105"/>
      <c r="E46" s="105"/>
      <c r="F46" s="45" t="s">
        <v>124</v>
      </c>
      <c r="G46" s="46">
        <v>85</v>
      </c>
    </row>
    <row r="47" spans="1:7" ht="15.75">
      <c r="A47" s="100" t="s">
        <v>983</v>
      </c>
      <c r="B47" s="100" t="s">
        <v>984</v>
      </c>
      <c r="C47" s="100" t="s">
        <v>985</v>
      </c>
      <c r="D47" s="102" t="s">
        <v>5</v>
      </c>
      <c r="E47" s="102" t="s">
        <v>150</v>
      </c>
      <c r="F47" s="45" t="s">
        <v>130</v>
      </c>
      <c r="G47" s="47">
        <f>(262/263)*100</f>
        <v>99.61977186311786</v>
      </c>
    </row>
    <row r="48" spans="1:7" ht="27">
      <c r="A48" s="101"/>
      <c r="B48" s="101"/>
      <c r="C48" s="101"/>
      <c r="D48" s="103"/>
      <c r="E48" s="103"/>
      <c r="F48" s="45" t="s">
        <v>131</v>
      </c>
      <c r="G48" s="47">
        <v>117.19973160366807</v>
      </c>
    </row>
    <row r="49" spans="1:7" ht="15.75">
      <c r="A49" s="104" t="s">
        <v>119</v>
      </c>
      <c r="B49" s="104" t="s">
        <v>120</v>
      </c>
      <c r="C49" s="104" t="s">
        <v>65</v>
      </c>
      <c r="D49" s="104" t="s">
        <v>121</v>
      </c>
      <c r="E49" s="104" t="s">
        <v>122</v>
      </c>
      <c r="F49" s="45" t="s">
        <v>123</v>
      </c>
      <c r="G49" s="46">
        <v>90</v>
      </c>
    </row>
    <row r="50" spans="1:7" ht="15.75">
      <c r="A50" s="105"/>
      <c r="B50" s="105"/>
      <c r="C50" s="105"/>
      <c r="D50" s="105"/>
      <c r="E50" s="105"/>
      <c r="F50" s="45" t="s">
        <v>124</v>
      </c>
      <c r="G50" s="46">
        <v>90</v>
      </c>
    </row>
    <row r="51" spans="1:7" ht="15.75">
      <c r="A51" s="100" t="s">
        <v>986</v>
      </c>
      <c r="B51" s="100" t="s">
        <v>984</v>
      </c>
      <c r="C51" s="100" t="s">
        <v>987</v>
      </c>
      <c r="D51" s="102" t="s">
        <v>5</v>
      </c>
      <c r="E51" s="102" t="s">
        <v>150</v>
      </c>
      <c r="F51" s="45" t="s">
        <v>130</v>
      </c>
      <c r="G51" s="47">
        <f>(45/45)*100</f>
        <v>100</v>
      </c>
    </row>
    <row r="52" spans="1:7" ht="27">
      <c r="A52" s="101"/>
      <c r="B52" s="101"/>
      <c r="C52" s="101"/>
      <c r="D52" s="103"/>
      <c r="E52" s="103"/>
      <c r="F52" s="45" t="s">
        <v>131</v>
      </c>
      <c r="G52" s="47">
        <v>111.11111111111111</v>
      </c>
    </row>
    <row r="53" spans="1:7" ht="15.75">
      <c r="A53" s="96" t="s">
        <v>303</v>
      </c>
      <c r="B53" s="96"/>
      <c r="C53" s="96"/>
      <c r="D53" s="96"/>
      <c r="E53" s="96"/>
      <c r="F53" s="96"/>
      <c r="G53" s="96"/>
    </row>
    <row r="54" spans="1:7" ht="15.75">
      <c r="A54" s="106" t="s">
        <v>976</v>
      </c>
      <c r="B54" s="106"/>
      <c r="C54" s="106"/>
      <c r="D54" s="106"/>
      <c r="E54" s="106"/>
      <c r="F54" s="106" t="s">
        <v>977</v>
      </c>
      <c r="G54" s="106"/>
    </row>
    <row r="55" spans="1:7" ht="15.75">
      <c r="A55" s="104" t="s">
        <v>119</v>
      </c>
      <c r="B55" s="104" t="s">
        <v>120</v>
      </c>
      <c r="C55" s="104" t="s">
        <v>65</v>
      </c>
      <c r="D55" s="104" t="s">
        <v>121</v>
      </c>
      <c r="E55" s="104" t="s">
        <v>122</v>
      </c>
      <c r="F55" s="45" t="s">
        <v>123</v>
      </c>
      <c r="G55" s="46">
        <v>90</v>
      </c>
    </row>
    <row r="56" spans="1:7" ht="15.75">
      <c r="A56" s="105"/>
      <c r="B56" s="105"/>
      <c r="C56" s="105"/>
      <c r="D56" s="105"/>
      <c r="E56" s="105"/>
      <c r="F56" s="45" t="s">
        <v>124</v>
      </c>
      <c r="G56" s="46">
        <v>90</v>
      </c>
    </row>
    <row r="57" spans="1:7" ht="15.75">
      <c r="A57" s="100" t="s">
        <v>988</v>
      </c>
      <c r="B57" s="100" t="s">
        <v>989</v>
      </c>
      <c r="C57" s="100" t="s">
        <v>990</v>
      </c>
      <c r="D57" s="102" t="s">
        <v>5</v>
      </c>
      <c r="E57" s="102" t="s">
        <v>788</v>
      </c>
      <c r="F57" s="45" t="s">
        <v>130</v>
      </c>
      <c r="G57" s="47">
        <f>(401/409)*100</f>
        <v>98.0440097799511</v>
      </c>
    </row>
    <row r="58" spans="1:7" ht="27">
      <c r="A58" s="101"/>
      <c r="B58" s="101"/>
      <c r="C58" s="101"/>
      <c r="D58" s="103"/>
      <c r="E58" s="103"/>
      <c r="F58" s="45" t="s">
        <v>131</v>
      </c>
      <c r="G58" s="47">
        <v>108.93778864439011</v>
      </c>
    </row>
    <row r="59" spans="1:7" ht="15.75">
      <c r="A59" s="104" t="s">
        <v>119</v>
      </c>
      <c r="B59" s="104" t="s">
        <v>120</v>
      </c>
      <c r="C59" s="104" t="s">
        <v>65</v>
      </c>
      <c r="D59" s="104" t="s">
        <v>121</v>
      </c>
      <c r="E59" s="104" t="s">
        <v>122</v>
      </c>
      <c r="F59" s="45" t="s">
        <v>123</v>
      </c>
      <c r="G59" s="46">
        <v>90</v>
      </c>
    </row>
    <row r="60" spans="1:7" ht="15.75">
      <c r="A60" s="105"/>
      <c r="B60" s="105"/>
      <c r="C60" s="105"/>
      <c r="D60" s="105"/>
      <c r="E60" s="105"/>
      <c r="F60" s="45" t="s">
        <v>124</v>
      </c>
      <c r="G60" s="46">
        <v>90</v>
      </c>
    </row>
    <row r="61" spans="1:7" ht="15.75">
      <c r="A61" s="100" t="s">
        <v>991</v>
      </c>
      <c r="B61" s="100" t="s">
        <v>989</v>
      </c>
      <c r="C61" s="100" t="s">
        <v>992</v>
      </c>
      <c r="D61" s="102" t="s">
        <v>5</v>
      </c>
      <c r="E61" s="102" t="s">
        <v>788</v>
      </c>
      <c r="F61" s="45" t="s">
        <v>130</v>
      </c>
      <c r="G61" s="47">
        <f>(200/203)*100</f>
        <v>98.52216748768473</v>
      </c>
    </row>
    <row r="62" spans="1:7" ht="27">
      <c r="A62" s="101"/>
      <c r="B62" s="101"/>
      <c r="C62" s="101"/>
      <c r="D62" s="103"/>
      <c r="E62" s="103"/>
      <c r="F62" s="45" t="s">
        <v>131</v>
      </c>
      <c r="G62" s="47">
        <v>109.46907498631637</v>
      </c>
    </row>
    <row r="63" spans="1:7" ht="15.75">
      <c r="A63" s="96" t="s">
        <v>192</v>
      </c>
      <c r="B63" s="96"/>
      <c r="C63" s="96"/>
      <c r="D63" s="96"/>
      <c r="E63" s="96"/>
      <c r="F63" s="96"/>
      <c r="G63" s="96"/>
    </row>
    <row r="64" spans="1:7" ht="15.75">
      <c r="A64" s="99" t="s">
        <v>972</v>
      </c>
      <c r="B64" s="99"/>
      <c r="C64" s="99"/>
      <c r="D64" s="99"/>
      <c r="E64" s="99"/>
      <c r="F64" s="99"/>
      <c r="G64" s="99"/>
    </row>
    <row r="65" spans="1:7" ht="31.5" customHeight="1">
      <c r="A65" s="48" t="s">
        <v>193</v>
      </c>
      <c r="B65" s="94" t="s">
        <v>993</v>
      </c>
      <c r="C65" s="94"/>
      <c r="D65" s="94"/>
      <c r="E65" s="94"/>
      <c r="F65" s="94"/>
      <c r="G65" s="94"/>
    </row>
    <row r="66" spans="1:7" ht="47.25" customHeight="1">
      <c r="A66" s="49" t="s">
        <v>6</v>
      </c>
      <c r="B66" s="153" t="s">
        <v>994</v>
      </c>
      <c r="C66" s="154"/>
      <c r="D66" s="154"/>
      <c r="E66" s="154"/>
      <c r="F66" s="154"/>
      <c r="G66" s="155"/>
    </row>
    <row r="67" spans="1:7" ht="15.75">
      <c r="A67" s="49" t="s">
        <v>195</v>
      </c>
      <c r="B67" s="95" t="s">
        <v>259</v>
      </c>
      <c r="C67" s="95"/>
      <c r="D67" s="95"/>
      <c r="E67" s="95"/>
      <c r="F67" s="95"/>
      <c r="G67" s="95"/>
    </row>
    <row r="68" spans="1:7" ht="15.75">
      <c r="A68" s="90" t="s">
        <v>978</v>
      </c>
      <c r="B68" s="90"/>
      <c r="C68" s="90"/>
      <c r="D68" s="90"/>
      <c r="E68" s="90"/>
      <c r="F68" s="90"/>
      <c r="G68" s="90"/>
    </row>
    <row r="69" spans="1:7" ht="31.5" customHeight="1">
      <c r="A69" s="49" t="s">
        <v>193</v>
      </c>
      <c r="B69" s="94" t="s">
        <v>995</v>
      </c>
      <c r="C69" s="94"/>
      <c r="D69" s="94"/>
      <c r="E69" s="94"/>
      <c r="F69" s="94"/>
      <c r="G69" s="94"/>
    </row>
    <row r="70" spans="1:7" ht="15.75">
      <c r="A70" s="49" t="s">
        <v>6</v>
      </c>
      <c r="B70" s="153" t="s">
        <v>996</v>
      </c>
      <c r="C70" s="154"/>
      <c r="D70" s="154"/>
      <c r="E70" s="154"/>
      <c r="F70" s="154"/>
      <c r="G70" s="155"/>
    </row>
    <row r="71" spans="1:7" ht="15.75">
      <c r="A71" s="49" t="s">
        <v>195</v>
      </c>
      <c r="B71" s="94"/>
      <c r="C71" s="94"/>
      <c r="D71" s="94"/>
      <c r="E71" s="94"/>
      <c r="F71" s="94"/>
      <c r="G71" s="94"/>
    </row>
    <row r="72" spans="1:7" ht="15.75">
      <c r="A72" s="90" t="s">
        <v>981</v>
      </c>
      <c r="B72" s="90"/>
      <c r="C72" s="90"/>
      <c r="D72" s="90"/>
      <c r="E72" s="90"/>
      <c r="F72" s="90"/>
      <c r="G72" s="90"/>
    </row>
    <row r="73" spans="1:7" ht="15.75">
      <c r="A73" s="48" t="s">
        <v>193</v>
      </c>
      <c r="B73" s="98" t="s">
        <v>997</v>
      </c>
      <c r="C73" s="98"/>
      <c r="D73" s="98"/>
      <c r="E73" s="98"/>
      <c r="F73" s="98"/>
      <c r="G73" s="98"/>
    </row>
    <row r="74" spans="1:7" ht="15.75">
      <c r="A74" s="49" t="s">
        <v>6</v>
      </c>
      <c r="B74" s="153" t="s">
        <v>998</v>
      </c>
      <c r="C74" s="154"/>
      <c r="D74" s="154"/>
      <c r="E74" s="154"/>
      <c r="F74" s="154"/>
      <c r="G74" s="155"/>
    </row>
    <row r="75" spans="1:7" ht="15.75">
      <c r="A75" s="49" t="s">
        <v>195</v>
      </c>
      <c r="B75" s="95"/>
      <c r="C75" s="95"/>
      <c r="D75" s="95"/>
      <c r="E75" s="95"/>
      <c r="F75" s="95"/>
      <c r="G75" s="95"/>
    </row>
    <row r="76" spans="1:7" ht="15.75">
      <c r="A76" s="187" t="s">
        <v>983</v>
      </c>
      <c r="B76" s="188"/>
      <c r="C76" s="188"/>
      <c r="D76" s="188"/>
      <c r="E76" s="188"/>
      <c r="F76" s="188"/>
      <c r="G76" s="189"/>
    </row>
    <row r="77" spans="1:7" ht="15.75">
      <c r="A77" s="49" t="s">
        <v>193</v>
      </c>
      <c r="B77" s="94" t="s">
        <v>999</v>
      </c>
      <c r="C77" s="94"/>
      <c r="D77" s="94"/>
      <c r="E77" s="94"/>
      <c r="F77" s="94"/>
      <c r="G77" s="94"/>
    </row>
    <row r="78" spans="1:7" ht="15.75">
      <c r="A78" s="49" t="s">
        <v>6</v>
      </c>
      <c r="B78" s="153" t="s">
        <v>1000</v>
      </c>
      <c r="C78" s="154"/>
      <c r="D78" s="154"/>
      <c r="E78" s="154"/>
      <c r="F78" s="154"/>
      <c r="G78" s="155"/>
    </row>
    <row r="79" spans="1:7" ht="15.75">
      <c r="A79" s="49" t="s">
        <v>195</v>
      </c>
      <c r="B79" s="95" t="s">
        <v>259</v>
      </c>
      <c r="C79" s="95"/>
      <c r="D79" s="95"/>
      <c r="E79" s="95"/>
      <c r="F79" s="95"/>
      <c r="G79" s="95"/>
    </row>
    <row r="80" spans="1:7" ht="15.75">
      <c r="A80" s="90" t="s">
        <v>986</v>
      </c>
      <c r="B80" s="90"/>
      <c r="C80" s="90"/>
      <c r="D80" s="90"/>
      <c r="E80" s="90"/>
      <c r="F80" s="90"/>
      <c r="G80" s="90"/>
    </row>
    <row r="81" spans="1:7" ht="15.75">
      <c r="A81" s="49" t="s">
        <v>193</v>
      </c>
      <c r="B81" s="94" t="s">
        <v>1001</v>
      </c>
      <c r="C81" s="94"/>
      <c r="D81" s="94"/>
      <c r="E81" s="94"/>
      <c r="F81" s="94"/>
      <c r="G81" s="94"/>
    </row>
    <row r="82" spans="1:7" ht="15.75">
      <c r="A82" s="49" t="s">
        <v>6</v>
      </c>
      <c r="B82" s="153" t="s">
        <v>1002</v>
      </c>
      <c r="C82" s="154"/>
      <c r="D82" s="154"/>
      <c r="E82" s="154"/>
      <c r="F82" s="154"/>
      <c r="G82" s="155"/>
    </row>
    <row r="83" spans="1:7" ht="15.75">
      <c r="A83" s="49" t="s">
        <v>195</v>
      </c>
      <c r="B83" s="95"/>
      <c r="C83" s="95"/>
      <c r="D83" s="95"/>
      <c r="E83" s="95"/>
      <c r="F83" s="95"/>
      <c r="G83" s="95"/>
    </row>
    <row r="84" spans="1:7" ht="15.75">
      <c r="A84" s="90" t="s">
        <v>988</v>
      </c>
      <c r="B84" s="90"/>
      <c r="C84" s="90"/>
      <c r="D84" s="90"/>
      <c r="E84" s="90"/>
      <c r="F84" s="90"/>
      <c r="G84" s="90"/>
    </row>
    <row r="85" spans="1:7" ht="31.5" customHeight="1">
      <c r="A85" s="49" t="s">
        <v>193</v>
      </c>
      <c r="B85" s="94" t="s">
        <v>1003</v>
      </c>
      <c r="C85" s="94"/>
      <c r="D85" s="94"/>
      <c r="E85" s="94"/>
      <c r="F85" s="94"/>
      <c r="G85" s="94"/>
    </row>
    <row r="86" spans="1:7" ht="15.75">
      <c r="A86" s="49" t="s">
        <v>6</v>
      </c>
      <c r="B86" s="98" t="s">
        <v>1004</v>
      </c>
      <c r="C86" s="98"/>
      <c r="D86" s="98"/>
      <c r="E86" s="98"/>
      <c r="F86" s="98"/>
      <c r="G86" s="98"/>
    </row>
    <row r="87" spans="1:7" ht="15.75">
      <c r="A87" s="49" t="s">
        <v>195</v>
      </c>
      <c r="B87" s="95" t="s">
        <v>259</v>
      </c>
      <c r="C87" s="95"/>
      <c r="D87" s="95"/>
      <c r="E87" s="95"/>
      <c r="F87" s="95"/>
      <c r="G87" s="95"/>
    </row>
    <row r="88" spans="1:7" ht="15.75">
      <c r="A88" s="90" t="s">
        <v>991</v>
      </c>
      <c r="B88" s="90"/>
      <c r="C88" s="90"/>
      <c r="D88" s="90"/>
      <c r="E88" s="90"/>
      <c r="F88" s="90"/>
      <c r="G88" s="90"/>
    </row>
    <row r="89" spans="1:7" ht="31.5" customHeight="1">
      <c r="A89" s="49" t="s">
        <v>193</v>
      </c>
      <c r="B89" s="94" t="s">
        <v>1005</v>
      </c>
      <c r="C89" s="94"/>
      <c r="D89" s="94"/>
      <c r="E89" s="94"/>
      <c r="F89" s="94"/>
      <c r="G89" s="94"/>
    </row>
    <row r="90" spans="1:7" ht="15.75">
      <c r="A90" s="49" t="s">
        <v>6</v>
      </c>
      <c r="B90" s="98" t="s">
        <v>1006</v>
      </c>
      <c r="C90" s="98"/>
      <c r="D90" s="98"/>
      <c r="E90" s="98"/>
      <c r="F90" s="98"/>
      <c r="G90" s="98"/>
    </row>
    <row r="91" spans="1:7" ht="15.75">
      <c r="A91" s="49" t="s">
        <v>195</v>
      </c>
      <c r="B91" s="95" t="s">
        <v>259</v>
      </c>
      <c r="C91" s="95"/>
      <c r="D91" s="95"/>
      <c r="E91" s="95"/>
      <c r="F91" s="95"/>
      <c r="G91" s="95"/>
    </row>
    <row r="92" spans="1:7" ht="15.75">
      <c r="A92" s="146"/>
      <c r="B92" s="146"/>
      <c r="C92" s="146"/>
      <c r="D92" s="146"/>
      <c r="E92" s="146"/>
      <c r="F92" s="146"/>
      <c r="G92" s="146"/>
    </row>
    <row r="93" spans="1:7" ht="15.75">
      <c r="A93" s="96" t="s">
        <v>226</v>
      </c>
      <c r="B93" s="96"/>
      <c r="C93" s="96"/>
      <c r="D93" s="96"/>
      <c r="E93" s="96"/>
      <c r="F93" s="96"/>
      <c r="G93" s="96"/>
    </row>
    <row r="94" spans="1:7" ht="15.75">
      <c r="A94" s="146"/>
      <c r="B94" s="146"/>
      <c r="C94" s="146"/>
      <c r="D94" s="146"/>
      <c r="E94" s="146"/>
      <c r="F94" s="146"/>
      <c r="G94" s="146"/>
    </row>
    <row r="95" spans="1:7" ht="31.5" customHeight="1">
      <c r="A95" s="93" t="s">
        <v>229</v>
      </c>
      <c r="B95" s="93"/>
      <c r="C95" s="93"/>
      <c r="D95" s="93"/>
      <c r="E95" s="93"/>
      <c r="F95" s="93"/>
      <c r="G95" s="93"/>
    </row>
  </sheetData>
  <sheetProtection/>
  <mergeCells count="148">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B65:G65"/>
    <mergeCell ref="B66:G66"/>
    <mergeCell ref="B67:G67"/>
    <mergeCell ref="A68:G68"/>
    <mergeCell ref="B69:G69"/>
    <mergeCell ref="B70:G70"/>
    <mergeCell ref="B71:G71"/>
    <mergeCell ref="A72:G72"/>
    <mergeCell ref="B73:G73"/>
    <mergeCell ref="B74:G74"/>
    <mergeCell ref="B75:G75"/>
    <mergeCell ref="A76:G76"/>
    <mergeCell ref="B77:G77"/>
    <mergeCell ref="B78:G78"/>
    <mergeCell ref="B79:G79"/>
    <mergeCell ref="A80:G80"/>
    <mergeCell ref="B81:G81"/>
    <mergeCell ref="B82:G82"/>
    <mergeCell ref="B83:G83"/>
    <mergeCell ref="A84:G84"/>
    <mergeCell ref="B85:G85"/>
    <mergeCell ref="B86:G86"/>
    <mergeCell ref="B87:G87"/>
    <mergeCell ref="A94:G94"/>
    <mergeCell ref="A95:G95"/>
    <mergeCell ref="A88:G88"/>
    <mergeCell ref="B89:G89"/>
    <mergeCell ref="B90:G90"/>
    <mergeCell ref="B91:G91"/>
    <mergeCell ref="A92:G92"/>
    <mergeCell ref="A93:G93"/>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2" manualBreakCount="2">
    <brk id="38" max="255" man="1"/>
    <brk id="87" max="255" man="1"/>
  </rowBreaks>
</worksheet>
</file>

<file path=xl/worksheets/sheet11.xml><?xml version="1.0" encoding="utf-8"?>
<worksheet xmlns="http://schemas.openxmlformats.org/spreadsheetml/2006/main" xmlns:r="http://schemas.openxmlformats.org/officeDocument/2006/relationships">
  <dimension ref="A1:G107"/>
  <sheetViews>
    <sheetView tabSelected="1" view="pageBreakPreview" zoomScale="60" zoomScalePageLayoutView="0" workbookViewId="0" topLeftCell="A61">
      <selection activeCell="A29" sqref="A29:A30"/>
    </sheetView>
  </sheetViews>
  <sheetFormatPr defaultColWidth="11.421875" defaultRowHeight="15"/>
  <cols>
    <col min="1" max="3" width="45.7109375" style="60" customWidth="1"/>
    <col min="4" max="4" width="17.140625" style="60" customWidth="1"/>
    <col min="5" max="5" width="26.140625" style="60" customWidth="1"/>
    <col min="6" max="6" width="41.8515625" style="60" customWidth="1"/>
    <col min="7" max="7" width="13.28125" style="60" customWidth="1"/>
    <col min="8" max="16384" width="11.421875" style="60" customWidth="1"/>
  </cols>
  <sheetData>
    <row r="1" spans="1:7" s="58" customFormat="1" ht="34.5">
      <c r="A1" s="143" t="s">
        <v>81</v>
      </c>
      <c r="B1" s="144"/>
      <c r="C1" s="144"/>
      <c r="D1" s="144"/>
      <c r="E1" s="144"/>
      <c r="F1" s="144"/>
      <c r="G1" s="144"/>
    </row>
    <row r="2" spans="1:7" s="58" customFormat="1" ht="37.5">
      <c r="A2" s="145" t="s">
        <v>82</v>
      </c>
      <c r="B2" s="145"/>
      <c r="C2" s="145"/>
      <c r="D2" s="145"/>
      <c r="E2" s="145"/>
      <c r="F2" s="145"/>
      <c r="G2" s="145"/>
    </row>
    <row r="3" s="59" customFormat="1" ht="11.25"/>
    <row r="4" spans="1:7" ht="15.75">
      <c r="A4" s="107" t="s">
        <v>83</v>
      </c>
      <c r="B4" s="108"/>
      <c r="C4" s="108"/>
      <c r="D4" s="108"/>
      <c r="E4" s="108"/>
      <c r="F4" s="108"/>
      <c r="G4" s="109"/>
    </row>
    <row r="5" spans="1:7" ht="31.5" customHeight="1">
      <c r="A5" s="137" t="s">
        <v>84</v>
      </c>
      <c r="B5" s="138"/>
      <c r="C5" s="139"/>
      <c r="D5" s="140" t="s">
        <v>968</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1116</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62"/>
      <c r="B15" s="182" t="s">
        <v>1008</v>
      </c>
      <c r="C15" s="182"/>
      <c r="D15" s="182"/>
      <c r="E15" s="182"/>
      <c r="F15" s="182"/>
      <c r="G15" s="183"/>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185</v>
      </c>
    </row>
    <row r="30" spans="1:7" ht="15.75">
      <c r="A30" s="105"/>
      <c r="B30" s="105"/>
      <c r="C30" s="105"/>
      <c r="D30" s="105"/>
      <c r="E30" s="105"/>
      <c r="F30" s="45" t="s">
        <v>124</v>
      </c>
      <c r="G30" s="46">
        <v>185</v>
      </c>
    </row>
    <row r="31" spans="1:7" ht="123.75" customHeight="1">
      <c r="A31" s="100" t="s">
        <v>972</v>
      </c>
      <c r="B31" s="100" t="s">
        <v>1117</v>
      </c>
      <c r="C31" s="100" t="s">
        <v>974</v>
      </c>
      <c r="D31" s="102" t="s">
        <v>1118</v>
      </c>
      <c r="E31" s="102" t="s">
        <v>135</v>
      </c>
      <c r="F31" s="45" t="s">
        <v>130</v>
      </c>
      <c r="G31" s="47">
        <f>((1186+9803)/(8+70))</f>
        <v>140.8846153846154</v>
      </c>
    </row>
    <row r="32" spans="1:7" ht="123.75" customHeight="1">
      <c r="A32" s="101"/>
      <c r="B32" s="101"/>
      <c r="C32" s="101"/>
      <c r="D32" s="103"/>
      <c r="E32" s="103"/>
      <c r="F32" s="45" t="s">
        <v>131</v>
      </c>
      <c r="G32" s="47">
        <v>123.84615384615385</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56</v>
      </c>
    </row>
    <row r="36" spans="1:7" ht="15.75">
      <c r="A36" s="105"/>
      <c r="B36" s="105"/>
      <c r="C36" s="105"/>
      <c r="D36" s="105"/>
      <c r="E36" s="105"/>
      <c r="F36" s="45" t="s">
        <v>124</v>
      </c>
      <c r="G36" s="46">
        <v>46</v>
      </c>
    </row>
    <row r="37" spans="1:7" ht="57.75" customHeight="1">
      <c r="A37" s="100" t="s">
        <v>1119</v>
      </c>
      <c r="B37" s="100" t="s">
        <v>1120</v>
      </c>
      <c r="C37" s="100" t="s">
        <v>1121</v>
      </c>
      <c r="D37" s="102" t="s">
        <v>149</v>
      </c>
      <c r="E37" s="102" t="s">
        <v>364</v>
      </c>
      <c r="F37" s="45" t="s">
        <v>130</v>
      </c>
      <c r="G37" s="47">
        <f>((8067/191)*0.71)+((5067/78)*0.29)</f>
        <v>48.826123640757146</v>
      </c>
    </row>
    <row r="38" spans="1:7" ht="57.75" customHeight="1">
      <c r="A38" s="101"/>
      <c r="B38" s="101"/>
      <c r="C38" s="101"/>
      <c r="D38" s="103"/>
      <c r="E38" s="103"/>
      <c r="F38" s="45" t="s">
        <v>131</v>
      </c>
      <c r="G38" s="47">
        <v>93.85625295487576</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65</v>
      </c>
    </row>
    <row r="42" spans="1:7" ht="15.75">
      <c r="A42" s="105"/>
      <c r="B42" s="105"/>
      <c r="C42" s="105"/>
      <c r="D42" s="105"/>
      <c r="E42" s="105"/>
      <c r="F42" s="45" t="s">
        <v>124</v>
      </c>
      <c r="G42" s="46">
        <v>42</v>
      </c>
    </row>
    <row r="43" spans="1:7" ht="66" customHeight="1">
      <c r="A43" s="100" t="s">
        <v>1122</v>
      </c>
      <c r="B43" s="100" t="s">
        <v>1123</v>
      </c>
      <c r="C43" s="100" t="s">
        <v>1124</v>
      </c>
      <c r="D43" s="102" t="s">
        <v>1118</v>
      </c>
      <c r="E43" s="102" t="s">
        <v>142</v>
      </c>
      <c r="F43" s="45" t="s">
        <v>130</v>
      </c>
      <c r="G43" s="47">
        <f>((5929/93)*0.4844)+((2219/99)*0.5156)</f>
        <v>42.438533463668946</v>
      </c>
    </row>
    <row r="44" spans="1:7" ht="66" customHeight="1">
      <c r="A44" s="101"/>
      <c r="B44" s="101"/>
      <c r="C44" s="101"/>
      <c r="D44" s="103"/>
      <c r="E44" s="103"/>
      <c r="F44" s="45" t="s">
        <v>131</v>
      </c>
      <c r="G44" s="47">
        <v>99.4366316372838</v>
      </c>
    </row>
    <row r="45" spans="1:7" ht="15.75" customHeight="1">
      <c r="A45" s="104" t="s">
        <v>119</v>
      </c>
      <c r="B45" s="104" t="s">
        <v>120</v>
      </c>
      <c r="C45" s="104" t="s">
        <v>65</v>
      </c>
      <c r="D45" s="104" t="s">
        <v>121</v>
      </c>
      <c r="E45" s="104" t="s">
        <v>122</v>
      </c>
      <c r="F45" s="45" t="s">
        <v>123</v>
      </c>
      <c r="G45" s="46">
        <v>80</v>
      </c>
    </row>
    <row r="46" spans="1:7" ht="15.75">
      <c r="A46" s="105"/>
      <c r="B46" s="105"/>
      <c r="C46" s="105"/>
      <c r="D46" s="105"/>
      <c r="E46" s="105"/>
      <c r="F46" s="45" t="s">
        <v>124</v>
      </c>
      <c r="G46" s="46">
        <v>63</v>
      </c>
    </row>
    <row r="47" spans="1:7" ht="30" customHeight="1">
      <c r="A47" s="100" t="s">
        <v>1125</v>
      </c>
      <c r="B47" s="100" t="s">
        <v>1123</v>
      </c>
      <c r="C47" s="100" t="s">
        <v>1126</v>
      </c>
      <c r="D47" s="102" t="s">
        <v>149</v>
      </c>
      <c r="E47" s="102" t="s">
        <v>142</v>
      </c>
      <c r="F47" s="45" t="s">
        <v>130</v>
      </c>
      <c r="G47" s="47">
        <f>5067/78</f>
        <v>64.96153846153847</v>
      </c>
    </row>
    <row r="48" spans="1:7" ht="30" customHeight="1">
      <c r="A48" s="101"/>
      <c r="B48" s="101"/>
      <c r="C48" s="101"/>
      <c r="D48" s="103"/>
      <c r="E48" s="103"/>
      <c r="F48" s="45" t="s">
        <v>131</v>
      </c>
      <c r="G48" s="47">
        <v>96.88644688644688</v>
      </c>
    </row>
    <row r="49" spans="1:7" ht="15.75">
      <c r="A49" s="96" t="s">
        <v>303</v>
      </c>
      <c r="B49" s="96"/>
      <c r="C49" s="96"/>
      <c r="D49" s="96"/>
      <c r="E49" s="96"/>
      <c r="F49" s="96"/>
      <c r="G49" s="96"/>
    </row>
    <row r="50" spans="1:7" ht="15.75">
      <c r="A50" s="106" t="s">
        <v>117</v>
      </c>
      <c r="B50" s="106"/>
      <c r="C50" s="106"/>
      <c r="D50" s="106"/>
      <c r="E50" s="106"/>
      <c r="F50" s="106" t="s">
        <v>118</v>
      </c>
      <c r="G50" s="106"/>
    </row>
    <row r="51" spans="1:7" ht="15.75" customHeight="1">
      <c r="A51" s="104" t="s">
        <v>119</v>
      </c>
      <c r="B51" s="104" t="s">
        <v>120</v>
      </c>
      <c r="C51" s="104" t="s">
        <v>65</v>
      </c>
      <c r="D51" s="104" t="s">
        <v>121</v>
      </c>
      <c r="E51" s="104" t="s">
        <v>122</v>
      </c>
      <c r="F51" s="45" t="s">
        <v>123</v>
      </c>
      <c r="G51" s="46">
        <v>60</v>
      </c>
    </row>
    <row r="52" spans="1:7" ht="15.75">
      <c r="A52" s="105"/>
      <c r="B52" s="105"/>
      <c r="C52" s="105"/>
      <c r="D52" s="105"/>
      <c r="E52" s="105"/>
      <c r="F52" s="45" t="s">
        <v>124</v>
      </c>
      <c r="G52" s="46">
        <v>40</v>
      </c>
    </row>
    <row r="53" spans="1:7" ht="15.75" customHeight="1">
      <c r="A53" s="100" t="s">
        <v>1127</v>
      </c>
      <c r="B53" s="100" t="s">
        <v>1128</v>
      </c>
      <c r="C53" s="100" t="s">
        <v>1129</v>
      </c>
      <c r="D53" s="102" t="s">
        <v>5</v>
      </c>
      <c r="E53" s="102" t="s">
        <v>167</v>
      </c>
      <c r="F53" s="45" t="s">
        <v>130</v>
      </c>
      <c r="G53" s="47">
        <f>(15/26)*100</f>
        <v>57.692307692307686</v>
      </c>
    </row>
    <row r="54" spans="1:7" ht="27">
      <c r="A54" s="101"/>
      <c r="B54" s="101"/>
      <c r="C54" s="101"/>
      <c r="D54" s="103"/>
      <c r="E54" s="103"/>
      <c r="F54" s="45" t="s">
        <v>131</v>
      </c>
      <c r="G54" s="47">
        <v>144.23076923076923</v>
      </c>
    </row>
    <row r="55" spans="1:7" ht="15.75" customHeight="1">
      <c r="A55" s="104" t="s">
        <v>119</v>
      </c>
      <c r="B55" s="104" t="s">
        <v>120</v>
      </c>
      <c r="C55" s="104" t="s">
        <v>65</v>
      </c>
      <c r="D55" s="104" t="s">
        <v>121</v>
      </c>
      <c r="E55" s="104" t="s">
        <v>122</v>
      </c>
      <c r="F55" s="45" t="s">
        <v>123</v>
      </c>
      <c r="G55" s="46">
        <v>92</v>
      </c>
    </row>
    <row r="56" spans="1:7" ht="15.75">
      <c r="A56" s="105"/>
      <c r="B56" s="105"/>
      <c r="C56" s="105"/>
      <c r="D56" s="105"/>
      <c r="E56" s="105"/>
      <c r="F56" s="45" t="s">
        <v>124</v>
      </c>
      <c r="G56" s="46">
        <v>92</v>
      </c>
    </row>
    <row r="57" spans="1:7" ht="39" customHeight="1">
      <c r="A57" s="100" t="s">
        <v>1130</v>
      </c>
      <c r="B57" s="100" t="s">
        <v>1131</v>
      </c>
      <c r="C57" s="100" t="s">
        <v>1132</v>
      </c>
      <c r="D57" s="102" t="s">
        <v>5</v>
      </c>
      <c r="E57" s="102" t="s">
        <v>167</v>
      </c>
      <c r="F57" s="45" t="s">
        <v>130</v>
      </c>
      <c r="G57" s="47">
        <f>(178/191)*100</f>
        <v>93.19371727748691</v>
      </c>
    </row>
    <row r="58" spans="1:7" ht="39" customHeight="1">
      <c r="A58" s="101"/>
      <c r="B58" s="101"/>
      <c r="C58" s="101"/>
      <c r="D58" s="103"/>
      <c r="E58" s="103"/>
      <c r="F58" s="45" t="s">
        <v>131</v>
      </c>
      <c r="G58" s="47">
        <v>101.29751877987707</v>
      </c>
    </row>
    <row r="59" spans="1:7" ht="15.75" customHeight="1">
      <c r="A59" s="104" t="s">
        <v>119</v>
      </c>
      <c r="B59" s="104" t="s">
        <v>120</v>
      </c>
      <c r="C59" s="104" t="s">
        <v>65</v>
      </c>
      <c r="D59" s="104" t="s">
        <v>121</v>
      </c>
      <c r="E59" s="104" t="s">
        <v>122</v>
      </c>
      <c r="F59" s="45" t="s">
        <v>123</v>
      </c>
      <c r="G59" s="46">
        <v>95.2</v>
      </c>
    </row>
    <row r="60" spans="1:7" ht="15.75">
      <c r="A60" s="105"/>
      <c r="B60" s="105"/>
      <c r="C60" s="105"/>
      <c r="D60" s="105"/>
      <c r="E60" s="105"/>
      <c r="F60" s="45" t="s">
        <v>124</v>
      </c>
      <c r="G60" s="46">
        <v>95</v>
      </c>
    </row>
    <row r="61" spans="1:7" ht="30" customHeight="1">
      <c r="A61" s="100" t="s">
        <v>1133</v>
      </c>
      <c r="B61" s="100" t="s">
        <v>1128</v>
      </c>
      <c r="C61" s="100" t="s">
        <v>1134</v>
      </c>
      <c r="D61" s="102" t="s">
        <v>5</v>
      </c>
      <c r="E61" s="102" t="s">
        <v>167</v>
      </c>
      <c r="F61" s="45" t="s">
        <v>130</v>
      </c>
      <c r="G61" s="47">
        <f>(72/78)*100</f>
        <v>92.3076923076923</v>
      </c>
    </row>
    <row r="62" spans="1:7" ht="30" customHeight="1">
      <c r="A62" s="101"/>
      <c r="B62" s="101"/>
      <c r="C62" s="101"/>
      <c r="D62" s="103"/>
      <c r="E62" s="103"/>
      <c r="F62" s="45" t="s">
        <v>131</v>
      </c>
      <c r="G62" s="47">
        <v>97.16599190283401</v>
      </c>
    </row>
    <row r="63" spans="1:7" ht="15.75">
      <c r="A63" s="96" t="s">
        <v>192</v>
      </c>
      <c r="B63" s="96"/>
      <c r="C63" s="96"/>
      <c r="D63" s="96"/>
      <c r="E63" s="96"/>
      <c r="F63" s="96"/>
      <c r="G63" s="96"/>
    </row>
    <row r="64" spans="1:7" ht="15.75">
      <c r="A64" s="99" t="s">
        <v>972</v>
      </c>
      <c r="B64" s="99"/>
      <c r="C64" s="99"/>
      <c r="D64" s="99"/>
      <c r="E64" s="99"/>
      <c r="F64" s="99"/>
      <c r="G64" s="99"/>
    </row>
    <row r="65" spans="1:7" ht="31.5" customHeight="1">
      <c r="A65" s="48" t="s">
        <v>193</v>
      </c>
      <c r="B65" s="94" t="s">
        <v>1135</v>
      </c>
      <c r="C65" s="94"/>
      <c r="D65" s="94"/>
      <c r="E65" s="94"/>
      <c r="F65" s="94"/>
      <c r="G65" s="94"/>
    </row>
    <row r="66" spans="1:7" ht="44.25" customHeight="1">
      <c r="A66" s="49" t="s">
        <v>6</v>
      </c>
      <c r="B66" s="94" t="s">
        <v>1136</v>
      </c>
      <c r="C66" s="94"/>
      <c r="D66" s="94"/>
      <c r="E66" s="94"/>
      <c r="F66" s="94"/>
      <c r="G66" s="94"/>
    </row>
    <row r="67" spans="1:7" ht="15.75">
      <c r="A67" s="49" t="s">
        <v>195</v>
      </c>
      <c r="B67" s="95" t="s">
        <v>259</v>
      </c>
      <c r="C67" s="95"/>
      <c r="D67" s="95"/>
      <c r="E67" s="95"/>
      <c r="F67" s="95"/>
      <c r="G67" s="95"/>
    </row>
    <row r="68" spans="1:7" ht="15.75">
      <c r="A68" s="90" t="s">
        <v>1119</v>
      </c>
      <c r="B68" s="90"/>
      <c r="C68" s="90"/>
      <c r="D68" s="90"/>
      <c r="E68" s="90"/>
      <c r="F68" s="90"/>
      <c r="G68" s="90"/>
    </row>
    <row r="69" spans="1:7" ht="15.75">
      <c r="A69" s="49" t="s">
        <v>193</v>
      </c>
      <c r="B69" s="94" t="s">
        <v>1137</v>
      </c>
      <c r="C69" s="94"/>
      <c r="D69" s="94"/>
      <c r="E69" s="94"/>
      <c r="F69" s="94"/>
      <c r="G69" s="94"/>
    </row>
    <row r="70" spans="1:7" ht="15.75">
      <c r="A70" s="49" t="s">
        <v>6</v>
      </c>
      <c r="B70" s="94" t="s">
        <v>1138</v>
      </c>
      <c r="C70" s="94"/>
      <c r="D70" s="94"/>
      <c r="E70" s="94"/>
      <c r="F70" s="94"/>
      <c r="G70" s="94"/>
    </row>
    <row r="71" spans="1:7" ht="15.75">
      <c r="A71" s="49" t="s">
        <v>195</v>
      </c>
      <c r="B71" s="95" t="s">
        <v>259</v>
      </c>
      <c r="C71" s="95"/>
      <c r="D71" s="95"/>
      <c r="E71" s="95"/>
      <c r="F71" s="95"/>
      <c r="G71" s="95"/>
    </row>
    <row r="72" spans="1:7" ht="15.75">
      <c r="A72" s="90" t="s">
        <v>1122</v>
      </c>
      <c r="B72" s="90"/>
      <c r="C72" s="90"/>
      <c r="D72" s="90"/>
      <c r="E72" s="90"/>
      <c r="F72" s="90"/>
      <c r="G72" s="90"/>
    </row>
    <row r="73" spans="1:7" ht="15.75">
      <c r="A73" s="48" t="s">
        <v>193</v>
      </c>
      <c r="B73" s="98" t="s">
        <v>1139</v>
      </c>
      <c r="C73" s="98"/>
      <c r="D73" s="98"/>
      <c r="E73" s="98"/>
      <c r="F73" s="98"/>
      <c r="G73" s="98"/>
    </row>
    <row r="74" spans="1:7" ht="15.75">
      <c r="A74" s="49" t="s">
        <v>6</v>
      </c>
      <c r="B74" s="94" t="s">
        <v>1138</v>
      </c>
      <c r="C74" s="94"/>
      <c r="D74" s="94"/>
      <c r="E74" s="94"/>
      <c r="F74" s="94"/>
      <c r="G74" s="94"/>
    </row>
    <row r="75" spans="1:7" ht="15.75">
      <c r="A75" s="49" t="s">
        <v>195</v>
      </c>
      <c r="B75" s="95" t="s">
        <v>259</v>
      </c>
      <c r="C75" s="95"/>
      <c r="D75" s="95"/>
      <c r="E75" s="95"/>
      <c r="F75" s="95"/>
      <c r="G75" s="95"/>
    </row>
    <row r="76" spans="1:7" ht="15.75">
      <c r="A76" s="97" t="s">
        <v>1125</v>
      </c>
      <c r="B76" s="97"/>
      <c r="C76" s="97"/>
      <c r="D76" s="97"/>
      <c r="E76" s="97"/>
      <c r="F76" s="97"/>
      <c r="G76" s="97"/>
    </row>
    <row r="77" spans="1:7" ht="15.75">
      <c r="A77" s="49" t="s">
        <v>193</v>
      </c>
      <c r="B77" s="94" t="s">
        <v>1140</v>
      </c>
      <c r="C77" s="94"/>
      <c r="D77" s="94"/>
      <c r="E77" s="94"/>
      <c r="F77" s="94"/>
      <c r="G77" s="94"/>
    </row>
    <row r="78" spans="1:7" ht="15.75">
      <c r="A78" s="49" t="s">
        <v>6</v>
      </c>
      <c r="B78" s="94" t="s">
        <v>1138</v>
      </c>
      <c r="C78" s="94"/>
      <c r="D78" s="94"/>
      <c r="E78" s="94"/>
      <c r="F78" s="94"/>
      <c r="G78" s="94"/>
    </row>
    <row r="79" spans="1:7" ht="15.75">
      <c r="A79" s="49" t="s">
        <v>195</v>
      </c>
      <c r="B79" s="95" t="s">
        <v>259</v>
      </c>
      <c r="C79" s="95"/>
      <c r="D79" s="95"/>
      <c r="E79" s="95"/>
      <c r="F79" s="95"/>
      <c r="G79" s="95"/>
    </row>
    <row r="80" spans="1:7" ht="15.75">
      <c r="A80" s="90" t="s">
        <v>1127</v>
      </c>
      <c r="B80" s="90"/>
      <c r="C80" s="90"/>
      <c r="D80" s="90"/>
      <c r="E80" s="90"/>
      <c r="F80" s="90"/>
      <c r="G80" s="90"/>
    </row>
    <row r="81" spans="1:7" ht="15.75">
      <c r="A81" s="49" t="s">
        <v>193</v>
      </c>
      <c r="B81" s="94" t="s">
        <v>1141</v>
      </c>
      <c r="C81" s="94"/>
      <c r="D81" s="94"/>
      <c r="E81" s="94"/>
      <c r="F81" s="94"/>
      <c r="G81" s="94"/>
    </row>
    <row r="82" spans="1:7" ht="31.5" customHeight="1">
      <c r="A82" s="49" t="s">
        <v>6</v>
      </c>
      <c r="B82" s="94" t="s">
        <v>1142</v>
      </c>
      <c r="C82" s="94"/>
      <c r="D82" s="94"/>
      <c r="E82" s="94"/>
      <c r="F82" s="94"/>
      <c r="G82" s="94"/>
    </row>
    <row r="83" spans="1:7" ht="15.75">
      <c r="A83" s="49" t="s">
        <v>195</v>
      </c>
      <c r="B83" s="95" t="s">
        <v>259</v>
      </c>
      <c r="C83" s="95"/>
      <c r="D83" s="95"/>
      <c r="E83" s="95"/>
      <c r="F83" s="95"/>
      <c r="G83" s="95"/>
    </row>
    <row r="84" spans="1:7" ht="15.75">
      <c r="A84" s="90" t="s">
        <v>1130</v>
      </c>
      <c r="B84" s="90"/>
      <c r="C84" s="90"/>
      <c r="D84" s="90"/>
      <c r="E84" s="90"/>
      <c r="F84" s="90"/>
      <c r="G84" s="90"/>
    </row>
    <row r="85" spans="1:7" ht="15.75">
      <c r="A85" s="49" t="s">
        <v>193</v>
      </c>
      <c r="B85" s="94" t="s">
        <v>1143</v>
      </c>
      <c r="C85" s="94"/>
      <c r="D85" s="94"/>
      <c r="E85" s="94"/>
      <c r="F85" s="94"/>
      <c r="G85" s="94"/>
    </row>
    <row r="86" spans="1:7" ht="15.75">
      <c r="A86" s="49" t="s">
        <v>6</v>
      </c>
      <c r="B86" s="94" t="s">
        <v>1144</v>
      </c>
      <c r="C86" s="94"/>
      <c r="D86" s="94"/>
      <c r="E86" s="94"/>
      <c r="F86" s="94"/>
      <c r="G86" s="94"/>
    </row>
    <row r="87" spans="1:7" ht="15.75">
      <c r="A87" s="49" t="s">
        <v>195</v>
      </c>
      <c r="B87" s="95" t="s">
        <v>259</v>
      </c>
      <c r="C87" s="95"/>
      <c r="D87" s="95"/>
      <c r="E87" s="95"/>
      <c r="F87" s="95"/>
      <c r="G87" s="95"/>
    </row>
    <row r="88" spans="1:7" ht="15.75">
      <c r="A88" s="90" t="s">
        <v>1133</v>
      </c>
      <c r="B88" s="90"/>
      <c r="C88" s="90"/>
      <c r="D88" s="90"/>
      <c r="E88" s="90"/>
      <c r="F88" s="90"/>
      <c r="G88" s="90"/>
    </row>
    <row r="89" spans="1:7" ht="15.75">
      <c r="A89" s="49" t="s">
        <v>193</v>
      </c>
      <c r="B89" s="94" t="s">
        <v>1145</v>
      </c>
      <c r="C89" s="94"/>
      <c r="D89" s="94"/>
      <c r="E89" s="94"/>
      <c r="F89" s="94"/>
      <c r="G89" s="94"/>
    </row>
    <row r="90" spans="1:7" ht="15.75">
      <c r="A90" s="49" t="s">
        <v>6</v>
      </c>
      <c r="B90" s="94" t="s">
        <v>1138</v>
      </c>
      <c r="C90" s="94"/>
      <c r="D90" s="94"/>
      <c r="E90" s="94"/>
      <c r="F90" s="94"/>
      <c r="G90" s="94"/>
    </row>
    <row r="91" spans="1:7" ht="15.75">
      <c r="A91" s="49" t="s">
        <v>195</v>
      </c>
      <c r="B91" s="95" t="s">
        <v>259</v>
      </c>
      <c r="C91" s="95"/>
      <c r="D91" s="95"/>
      <c r="E91" s="95"/>
      <c r="F91" s="95"/>
      <c r="G91" s="95"/>
    </row>
    <row r="92" spans="1:7" ht="15.75">
      <c r="A92" s="146"/>
      <c r="B92" s="146"/>
      <c r="C92" s="146"/>
      <c r="D92" s="146"/>
      <c r="E92" s="146"/>
      <c r="F92" s="146"/>
      <c r="G92" s="146"/>
    </row>
    <row r="93" spans="1:7" ht="15.75">
      <c r="A93" s="96" t="s">
        <v>226</v>
      </c>
      <c r="B93" s="96"/>
      <c r="C93" s="96"/>
      <c r="D93" s="96"/>
      <c r="E93" s="96"/>
      <c r="F93" s="96"/>
      <c r="G93" s="96"/>
    </row>
    <row r="94" spans="1:7" ht="15.75">
      <c r="A94" s="90" t="s">
        <v>1119</v>
      </c>
      <c r="B94" s="90"/>
      <c r="C94" s="90"/>
      <c r="D94" s="90"/>
      <c r="E94" s="90"/>
      <c r="F94" s="90"/>
      <c r="G94" s="90"/>
    </row>
    <row r="95" spans="1:7" ht="15.75">
      <c r="A95" s="49" t="s">
        <v>227</v>
      </c>
      <c r="B95" s="91" t="s">
        <v>1146</v>
      </c>
      <c r="C95" s="91"/>
      <c r="D95" s="91"/>
      <c r="E95" s="91"/>
      <c r="F95" s="91"/>
      <c r="G95" s="91"/>
    </row>
    <row r="96" spans="1:7" ht="15.75">
      <c r="A96" s="90" t="s">
        <v>1122</v>
      </c>
      <c r="B96" s="90"/>
      <c r="C96" s="90"/>
      <c r="D96" s="90"/>
      <c r="E96" s="90"/>
      <c r="F96" s="90"/>
      <c r="G96" s="90"/>
    </row>
    <row r="97" spans="1:7" ht="15.75">
      <c r="A97" s="49" t="s">
        <v>227</v>
      </c>
      <c r="B97" s="91" t="s">
        <v>1147</v>
      </c>
      <c r="C97" s="91"/>
      <c r="D97" s="91"/>
      <c r="E97" s="91"/>
      <c r="F97" s="91"/>
      <c r="G97" s="91"/>
    </row>
    <row r="98" spans="1:7" ht="15.75">
      <c r="A98" s="90" t="s">
        <v>1125</v>
      </c>
      <c r="B98" s="90"/>
      <c r="C98" s="90"/>
      <c r="D98" s="90"/>
      <c r="E98" s="90"/>
      <c r="F98" s="90"/>
      <c r="G98" s="90"/>
    </row>
    <row r="99" spans="1:7" ht="15.75">
      <c r="A99" s="49" t="s">
        <v>227</v>
      </c>
      <c r="B99" s="91" t="s">
        <v>1148</v>
      </c>
      <c r="C99" s="91"/>
      <c r="D99" s="91"/>
      <c r="E99" s="91"/>
      <c r="F99" s="91"/>
      <c r="G99" s="91"/>
    </row>
    <row r="100" spans="1:7" ht="15.75">
      <c r="A100" s="90" t="s">
        <v>1127</v>
      </c>
      <c r="B100" s="90"/>
      <c r="C100" s="90"/>
      <c r="D100" s="90"/>
      <c r="E100" s="90"/>
      <c r="F100" s="90"/>
      <c r="G100" s="90"/>
    </row>
    <row r="101" spans="1:7" ht="39.75" customHeight="1">
      <c r="A101" s="49" t="s">
        <v>227</v>
      </c>
      <c r="B101" s="91" t="s">
        <v>1149</v>
      </c>
      <c r="C101" s="91"/>
      <c r="D101" s="91"/>
      <c r="E101" s="91"/>
      <c r="F101" s="91"/>
      <c r="G101" s="91"/>
    </row>
    <row r="102" spans="1:7" ht="15.75">
      <c r="A102" s="90" t="s">
        <v>1130</v>
      </c>
      <c r="B102" s="90"/>
      <c r="C102" s="90"/>
      <c r="D102" s="90"/>
      <c r="E102" s="90"/>
      <c r="F102" s="90"/>
      <c r="G102" s="90"/>
    </row>
    <row r="103" spans="1:7" ht="15.75">
      <c r="A103" s="49" t="s">
        <v>227</v>
      </c>
      <c r="B103" s="91"/>
      <c r="C103" s="91"/>
      <c r="D103" s="91"/>
      <c r="E103" s="91"/>
      <c r="F103" s="91"/>
      <c r="G103" s="91"/>
    </row>
    <row r="104" spans="1:7" ht="15.75">
      <c r="A104" s="90" t="s">
        <v>1133</v>
      </c>
      <c r="B104" s="90"/>
      <c r="C104" s="90"/>
      <c r="D104" s="90"/>
      <c r="E104" s="90"/>
      <c r="F104" s="90"/>
      <c r="G104" s="90"/>
    </row>
    <row r="105" spans="1:7" ht="15.75">
      <c r="A105" s="49" t="s">
        <v>227</v>
      </c>
      <c r="B105" s="91" t="s">
        <v>1150</v>
      </c>
      <c r="C105" s="91"/>
      <c r="D105" s="91"/>
      <c r="E105" s="91"/>
      <c r="F105" s="91"/>
      <c r="G105" s="91"/>
    </row>
    <row r="106" spans="1:7" ht="15.75">
      <c r="A106" s="146"/>
      <c r="B106" s="146"/>
      <c r="C106" s="146"/>
      <c r="D106" s="146"/>
      <c r="E106" s="146"/>
      <c r="F106" s="146"/>
      <c r="G106" s="146"/>
    </row>
    <row r="107" spans="1:7" ht="31.5" customHeight="1">
      <c r="A107" s="93" t="s">
        <v>229</v>
      </c>
      <c r="B107" s="93"/>
      <c r="C107" s="93"/>
      <c r="D107" s="93"/>
      <c r="E107" s="93"/>
      <c r="F107" s="93"/>
      <c r="G107" s="93"/>
    </row>
  </sheetData>
  <sheetProtection/>
  <mergeCells count="160">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B65:G65"/>
    <mergeCell ref="B66:G66"/>
    <mergeCell ref="B67:G67"/>
    <mergeCell ref="A68:G68"/>
    <mergeCell ref="B69:G69"/>
    <mergeCell ref="B70:G70"/>
    <mergeCell ref="B71:G71"/>
    <mergeCell ref="A72:G72"/>
    <mergeCell ref="B73:G73"/>
    <mergeCell ref="B74:G74"/>
    <mergeCell ref="B75:G75"/>
    <mergeCell ref="A76:G76"/>
    <mergeCell ref="B77:G77"/>
    <mergeCell ref="B78:G78"/>
    <mergeCell ref="B79:G79"/>
    <mergeCell ref="A80:G80"/>
    <mergeCell ref="B81:G81"/>
    <mergeCell ref="B82:G82"/>
    <mergeCell ref="B83:G83"/>
    <mergeCell ref="A84:G84"/>
    <mergeCell ref="B85:G85"/>
    <mergeCell ref="B86:G86"/>
    <mergeCell ref="B87:G87"/>
    <mergeCell ref="A88:G88"/>
    <mergeCell ref="B89:G89"/>
    <mergeCell ref="B90:G90"/>
    <mergeCell ref="B91:G91"/>
    <mergeCell ref="A92:G92"/>
    <mergeCell ref="A93:G93"/>
    <mergeCell ref="A94:G94"/>
    <mergeCell ref="B95:G95"/>
    <mergeCell ref="A96:G96"/>
    <mergeCell ref="B97:G97"/>
    <mergeCell ref="A98:G98"/>
    <mergeCell ref="B99:G99"/>
    <mergeCell ref="A106:G106"/>
    <mergeCell ref="A107:G107"/>
    <mergeCell ref="A100:G100"/>
    <mergeCell ref="B101:G101"/>
    <mergeCell ref="A102:G102"/>
    <mergeCell ref="B103:G103"/>
    <mergeCell ref="A104:G104"/>
    <mergeCell ref="B105:G105"/>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2" manualBreakCount="2">
    <brk id="38" max="255" man="1"/>
    <brk id="79" max="255" man="1"/>
  </rowBreaks>
</worksheet>
</file>

<file path=xl/worksheets/sheet12.xml><?xml version="1.0" encoding="utf-8"?>
<worksheet xmlns="http://schemas.openxmlformats.org/spreadsheetml/2006/main" xmlns:r="http://schemas.openxmlformats.org/officeDocument/2006/relationships">
  <dimension ref="A1:G191"/>
  <sheetViews>
    <sheetView showGridLines="0" tabSelected="1" view="pageBreakPreview" zoomScale="70" zoomScaleSheetLayoutView="70" zoomScalePageLayoutView="0" workbookViewId="0" topLeftCell="A172">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968</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1151</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40"/>
      <c r="B15" s="182" t="s">
        <v>1152</v>
      </c>
      <c r="C15" s="182"/>
      <c r="D15" s="182"/>
      <c r="E15" s="182"/>
      <c r="F15" s="182"/>
      <c r="G15" s="183"/>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90" t="s">
        <v>117</v>
      </c>
      <c r="B28" s="191"/>
      <c r="C28" s="191"/>
      <c r="D28" s="191"/>
      <c r="E28" s="192"/>
      <c r="F28" s="190" t="s">
        <v>118</v>
      </c>
      <c r="G28" s="192"/>
    </row>
    <row r="29" spans="1:7" ht="15.75" customHeight="1">
      <c r="A29" s="104" t="s">
        <v>119</v>
      </c>
      <c r="B29" s="104" t="s">
        <v>120</v>
      </c>
      <c r="C29" s="104" t="s">
        <v>65</v>
      </c>
      <c r="D29" s="104" t="s">
        <v>121</v>
      </c>
      <c r="E29" s="104" t="s">
        <v>122</v>
      </c>
      <c r="F29" s="45" t="s">
        <v>123</v>
      </c>
      <c r="G29" s="46">
        <v>44</v>
      </c>
    </row>
    <row r="30" spans="1:7" ht="15.75">
      <c r="A30" s="105"/>
      <c r="B30" s="105"/>
      <c r="C30" s="105"/>
      <c r="D30" s="105"/>
      <c r="E30" s="105"/>
      <c r="F30" s="45" t="s">
        <v>124</v>
      </c>
      <c r="G30" s="46">
        <v>44</v>
      </c>
    </row>
    <row r="31" spans="1:7" ht="41.25" customHeight="1">
      <c r="A31" s="100" t="s">
        <v>1153</v>
      </c>
      <c r="B31" s="100" t="s">
        <v>1154</v>
      </c>
      <c r="C31" s="100" t="s">
        <v>1155</v>
      </c>
      <c r="D31" s="102" t="s">
        <v>149</v>
      </c>
      <c r="E31" s="102" t="s">
        <v>129</v>
      </c>
      <c r="F31" s="45" t="s">
        <v>130</v>
      </c>
      <c r="G31" s="47">
        <f>31+11+10</f>
        <v>52</v>
      </c>
    </row>
    <row r="32" spans="1:7" ht="41.25" customHeight="1">
      <c r="A32" s="101"/>
      <c r="B32" s="101"/>
      <c r="C32" s="101"/>
      <c r="D32" s="103"/>
      <c r="E32" s="103"/>
      <c r="F32" s="45" t="s">
        <v>131</v>
      </c>
      <c r="G32" s="47">
        <v>81.81818181818181</v>
      </c>
    </row>
    <row r="33" spans="1:7" ht="15.75">
      <c r="A33" s="96" t="s">
        <v>288</v>
      </c>
      <c r="B33" s="96"/>
      <c r="C33" s="96"/>
      <c r="D33" s="96"/>
      <c r="E33" s="96"/>
      <c r="F33" s="96"/>
      <c r="G33" s="96"/>
    </row>
    <row r="34" spans="1:7" ht="15.75">
      <c r="A34" s="190" t="s">
        <v>117</v>
      </c>
      <c r="B34" s="191"/>
      <c r="C34" s="191"/>
      <c r="D34" s="191"/>
      <c r="E34" s="192"/>
      <c r="F34" s="190" t="s">
        <v>118</v>
      </c>
      <c r="G34" s="192"/>
    </row>
    <row r="35" spans="1:7" ht="15.75" customHeight="1">
      <c r="A35" s="104" t="s">
        <v>119</v>
      </c>
      <c r="B35" s="104" t="s">
        <v>120</v>
      </c>
      <c r="C35" s="104" t="s">
        <v>65</v>
      </c>
      <c r="D35" s="104" t="s">
        <v>121</v>
      </c>
      <c r="E35" s="104" t="s">
        <v>122</v>
      </c>
      <c r="F35" s="45" t="s">
        <v>123</v>
      </c>
      <c r="G35" s="46">
        <v>34</v>
      </c>
    </row>
    <row r="36" spans="1:7" ht="15.75">
      <c r="A36" s="105"/>
      <c r="B36" s="105"/>
      <c r="C36" s="105"/>
      <c r="D36" s="105"/>
      <c r="E36" s="105"/>
      <c r="F36" s="45" t="s">
        <v>124</v>
      </c>
      <c r="G36" s="46">
        <v>34</v>
      </c>
    </row>
    <row r="37" spans="1:7" ht="60.75" customHeight="1">
      <c r="A37" s="100" t="s">
        <v>1156</v>
      </c>
      <c r="B37" s="100" t="s">
        <v>1157</v>
      </c>
      <c r="C37" s="100" t="s">
        <v>1158</v>
      </c>
      <c r="D37" s="102" t="s">
        <v>149</v>
      </c>
      <c r="E37" s="102" t="s">
        <v>129</v>
      </c>
      <c r="F37" s="45" t="s">
        <v>130</v>
      </c>
      <c r="G37" s="47">
        <f>31+11</f>
        <v>42</v>
      </c>
    </row>
    <row r="38" spans="1:7" ht="60.75" customHeight="1">
      <c r="A38" s="101"/>
      <c r="B38" s="101"/>
      <c r="C38" s="101"/>
      <c r="D38" s="103"/>
      <c r="E38" s="103"/>
      <c r="F38" s="45" t="s">
        <v>131</v>
      </c>
      <c r="G38" s="47">
        <v>76.47058823529412</v>
      </c>
    </row>
    <row r="39" spans="1:7" ht="15.75">
      <c r="A39" s="96" t="s">
        <v>293</v>
      </c>
      <c r="B39" s="96"/>
      <c r="C39" s="96"/>
      <c r="D39" s="96"/>
      <c r="E39" s="96"/>
      <c r="F39" s="96"/>
      <c r="G39" s="96"/>
    </row>
    <row r="40" spans="1:7" ht="15.75">
      <c r="A40" s="190" t="s">
        <v>117</v>
      </c>
      <c r="B40" s="191"/>
      <c r="C40" s="191"/>
      <c r="D40" s="191"/>
      <c r="E40" s="192"/>
      <c r="F40" s="190" t="s">
        <v>118</v>
      </c>
      <c r="G40" s="192"/>
    </row>
    <row r="41" spans="1:7" ht="15.75" customHeight="1">
      <c r="A41" s="104" t="s">
        <v>119</v>
      </c>
      <c r="B41" s="104" t="s">
        <v>120</v>
      </c>
      <c r="C41" s="104" t="s">
        <v>65</v>
      </c>
      <c r="D41" s="104" t="s">
        <v>121</v>
      </c>
      <c r="E41" s="104" t="s">
        <v>122</v>
      </c>
      <c r="F41" s="45" t="s">
        <v>123</v>
      </c>
      <c r="G41" s="46">
        <v>80</v>
      </c>
    </row>
    <row r="42" spans="1:7" ht="15.75">
      <c r="A42" s="105"/>
      <c r="B42" s="105"/>
      <c r="C42" s="105"/>
      <c r="D42" s="105"/>
      <c r="E42" s="105"/>
      <c r="F42" s="45" t="s">
        <v>124</v>
      </c>
      <c r="G42" s="46">
        <v>80</v>
      </c>
    </row>
    <row r="43" spans="1:7" ht="15.75" customHeight="1">
      <c r="A43" s="100" t="s">
        <v>1159</v>
      </c>
      <c r="B43" s="100" t="s">
        <v>1160</v>
      </c>
      <c r="C43" s="100" t="s">
        <v>1161</v>
      </c>
      <c r="D43" s="102" t="s">
        <v>5</v>
      </c>
      <c r="E43" s="102" t="s">
        <v>129</v>
      </c>
      <c r="F43" s="45" t="s">
        <v>130</v>
      </c>
      <c r="G43" s="47">
        <f>((8554/8631)*100+((5065-3778)/5065*100))/2</f>
        <v>62.25877061301219</v>
      </c>
    </row>
    <row r="44" spans="1:7" ht="40.5" customHeight="1">
      <c r="A44" s="101"/>
      <c r="B44" s="101"/>
      <c r="C44" s="101"/>
      <c r="D44" s="103"/>
      <c r="E44" s="103"/>
      <c r="F44" s="45" t="s">
        <v>131</v>
      </c>
      <c r="G44" s="47">
        <v>77.82346326626524</v>
      </c>
    </row>
    <row r="45" spans="1:7" ht="15.75" customHeight="1">
      <c r="A45" s="104" t="s">
        <v>119</v>
      </c>
      <c r="B45" s="104" t="s">
        <v>120</v>
      </c>
      <c r="C45" s="104" t="s">
        <v>65</v>
      </c>
      <c r="D45" s="104" t="s">
        <v>121</v>
      </c>
      <c r="E45" s="104" t="s">
        <v>122</v>
      </c>
      <c r="F45" s="45" t="s">
        <v>123</v>
      </c>
      <c r="G45" s="46">
        <v>99</v>
      </c>
    </row>
    <row r="46" spans="1:7" ht="15.75">
      <c r="A46" s="105"/>
      <c r="B46" s="105"/>
      <c r="C46" s="105"/>
      <c r="D46" s="105"/>
      <c r="E46" s="105"/>
      <c r="F46" s="45" t="s">
        <v>124</v>
      </c>
      <c r="G46" s="46">
        <v>99</v>
      </c>
    </row>
    <row r="47" spans="1:7" ht="15.75" customHeight="1">
      <c r="A47" s="100" t="s">
        <v>1162</v>
      </c>
      <c r="B47" s="100" t="s">
        <v>1163</v>
      </c>
      <c r="C47" s="100" t="s">
        <v>1164</v>
      </c>
      <c r="D47" s="102" t="s">
        <v>5</v>
      </c>
      <c r="E47" s="102" t="s">
        <v>129</v>
      </c>
      <c r="F47" s="45" t="s">
        <v>130</v>
      </c>
      <c r="G47" s="47">
        <f>(1-((0+0+0+6+6)/((54*3)+9879+227)))*100</f>
        <v>99.88313206077133</v>
      </c>
    </row>
    <row r="48" spans="1:7" ht="40.5" customHeight="1">
      <c r="A48" s="101"/>
      <c r="B48" s="101"/>
      <c r="C48" s="101"/>
      <c r="D48" s="103"/>
      <c r="E48" s="103"/>
      <c r="F48" s="45" t="s">
        <v>131</v>
      </c>
      <c r="G48" s="47">
        <v>100.8920525866377</v>
      </c>
    </row>
    <row r="49" spans="1:7" ht="15.75" customHeight="1">
      <c r="A49" s="104" t="s">
        <v>119</v>
      </c>
      <c r="B49" s="104" t="s">
        <v>120</v>
      </c>
      <c r="C49" s="104" t="s">
        <v>65</v>
      </c>
      <c r="D49" s="104" t="s">
        <v>121</v>
      </c>
      <c r="E49" s="104" t="s">
        <v>122</v>
      </c>
      <c r="F49" s="45" t="s">
        <v>123</v>
      </c>
      <c r="G49" s="46">
        <v>80</v>
      </c>
    </row>
    <row r="50" spans="1:7" ht="15.75">
      <c r="A50" s="105"/>
      <c r="B50" s="105"/>
      <c r="C50" s="105"/>
      <c r="D50" s="105"/>
      <c r="E50" s="105"/>
      <c r="F50" s="45" t="s">
        <v>124</v>
      </c>
      <c r="G50" s="46">
        <v>80</v>
      </c>
    </row>
    <row r="51" spans="1:7" ht="33" customHeight="1">
      <c r="A51" s="100" t="s">
        <v>1165</v>
      </c>
      <c r="B51" s="100" t="s">
        <v>1166</v>
      </c>
      <c r="C51" s="100" t="s">
        <v>1167</v>
      </c>
      <c r="D51" s="102" t="s">
        <v>5</v>
      </c>
      <c r="E51" s="102" t="s">
        <v>129</v>
      </c>
      <c r="F51" s="45" t="s">
        <v>130</v>
      </c>
      <c r="G51" s="47">
        <f>(1-(8/308))*100</f>
        <v>97.40259740259741</v>
      </c>
    </row>
    <row r="52" spans="1:7" ht="33" customHeight="1">
      <c r="A52" s="101"/>
      <c r="B52" s="101"/>
      <c r="C52" s="101"/>
      <c r="D52" s="103"/>
      <c r="E52" s="103"/>
      <c r="F52" s="45" t="s">
        <v>131</v>
      </c>
      <c r="G52" s="47">
        <v>121.75324675324676</v>
      </c>
    </row>
    <row r="53" spans="1:7" ht="15.75" customHeight="1">
      <c r="A53" s="104" t="s">
        <v>119</v>
      </c>
      <c r="B53" s="104" t="s">
        <v>120</v>
      </c>
      <c r="C53" s="104" t="s">
        <v>65</v>
      </c>
      <c r="D53" s="104" t="s">
        <v>121</v>
      </c>
      <c r="E53" s="104" t="s">
        <v>122</v>
      </c>
      <c r="F53" s="45" t="s">
        <v>123</v>
      </c>
      <c r="G53" s="46">
        <v>75</v>
      </c>
    </row>
    <row r="54" spans="1:7" ht="15.75">
      <c r="A54" s="105"/>
      <c r="B54" s="105"/>
      <c r="C54" s="105"/>
      <c r="D54" s="105"/>
      <c r="E54" s="105"/>
      <c r="F54" s="45" t="s">
        <v>124</v>
      </c>
      <c r="G54" s="46">
        <v>75</v>
      </c>
    </row>
    <row r="55" spans="1:7" ht="32.25" customHeight="1">
      <c r="A55" s="100" t="s">
        <v>1168</v>
      </c>
      <c r="B55" s="100" t="s">
        <v>1169</v>
      </c>
      <c r="C55" s="100" t="s">
        <v>1170</v>
      </c>
      <c r="D55" s="102" t="s">
        <v>5</v>
      </c>
      <c r="E55" s="102" t="s">
        <v>364</v>
      </c>
      <c r="F55" s="45" t="s">
        <v>130</v>
      </c>
      <c r="G55" s="47">
        <f>(1-(1/4))*100</f>
        <v>75</v>
      </c>
    </row>
    <row r="56" spans="1:7" ht="32.25" customHeight="1">
      <c r="A56" s="101"/>
      <c r="B56" s="101"/>
      <c r="C56" s="101"/>
      <c r="D56" s="103"/>
      <c r="E56" s="103"/>
      <c r="F56" s="45" t="s">
        <v>131</v>
      </c>
      <c r="G56" s="47">
        <v>100</v>
      </c>
    </row>
    <row r="57" spans="1:7" ht="15.75">
      <c r="A57" s="96" t="s">
        <v>303</v>
      </c>
      <c r="B57" s="96"/>
      <c r="C57" s="96"/>
      <c r="D57" s="96"/>
      <c r="E57" s="96"/>
      <c r="F57" s="96"/>
      <c r="G57" s="96"/>
    </row>
    <row r="58" spans="1:7" ht="15.75">
      <c r="A58" s="190" t="s">
        <v>117</v>
      </c>
      <c r="B58" s="191"/>
      <c r="C58" s="191"/>
      <c r="D58" s="191"/>
      <c r="E58" s="192"/>
      <c r="F58" s="190" t="s">
        <v>118</v>
      </c>
      <c r="G58" s="192"/>
    </row>
    <row r="59" spans="1:7" ht="15.75" customHeight="1">
      <c r="A59" s="104" t="s">
        <v>119</v>
      </c>
      <c r="B59" s="104" t="s">
        <v>120</v>
      </c>
      <c r="C59" s="104" t="s">
        <v>65</v>
      </c>
      <c r="D59" s="104" t="s">
        <v>121</v>
      </c>
      <c r="E59" s="104" t="s">
        <v>122</v>
      </c>
      <c r="F59" s="45" t="s">
        <v>123</v>
      </c>
      <c r="G59" s="46">
        <v>99</v>
      </c>
    </row>
    <row r="60" spans="1:7" ht="15.75">
      <c r="A60" s="105"/>
      <c r="B60" s="105"/>
      <c r="C60" s="105"/>
      <c r="D60" s="105"/>
      <c r="E60" s="105"/>
      <c r="F60" s="45" t="s">
        <v>124</v>
      </c>
      <c r="G60" s="46">
        <v>99</v>
      </c>
    </row>
    <row r="61" spans="1:7" ht="15.75" customHeight="1">
      <c r="A61" s="100" t="s">
        <v>1171</v>
      </c>
      <c r="B61" s="100" t="s">
        <v>1172</v>
      </c>
      <c r="C61" s="100" t="s">
        <v>1173</v>
      </c>
      <c r="D61" s="102" t="s">
        <v>5</v>
      </c>
      <c r="E61" s="102" t="s">
        <v>364</v>
      </c>
      <c r="F61" s="45" t="s">
        <v>130</v>
      </c>
      <c r="G61" s="47">
        <f>9994/10078*100</f>
        <v>99.16650128993848</v>
      </c>
    </row>
    <row r="62" spans="1:7" ht="40.5" customHeight="1">
      <c r="A62" s="101"/>
      <c r="B62" s="101"/>
      <c r="C62" s="101"/>
      <c r="D62" s="103"/>
      <c r="E62" s="103"/>
      <c r="F62" s="45" t="s">
        <v>131</v>
      </c>
      <c r="G62" s="47">
        <v>100.16818312114998</v>
      </c>
    </row>
    <row r="63" spans="1:7" ht="15.75" customHeight="1">
      <c r="A63" s="104" t="s">
        <v>119</v>
      </c>
      <c r="B63" s="104" t="s">
        <v>120</v>
      </c>
      <c r="C63" s="104" t="s">
        <v>65</v>
      </c>
      <c r="D63" s="104" t="s">
        <v>121</v>
      </c>
      <c r="E63" s="104" t="s">
        <v>122</v>
      </c>
      <c r="F63" s="45" t="s">
        <v>123</v>
      </c>
      <c r="G63" s="46">
        <v>80</v>
      </c>
    </row>
    <row r="64" spans="1:7" ht="15.75">
      <c r="A64" s="105"/>
      <c r="B64" s="105"/>
      <c r="C64" s="105"/>
      <c r="D64" s="105"/>
      <c r="E64" s="105"/>
      <c r="F64" s="45" t="s">
        <v>124</v>
      </c>
      <c r="G64" s="46">
        <v>80</v>
      </c>
    </row>
    <row r="65" spans="1:7" ht="31.5" customHeight="1">
      <c r="A65" s="100" t="s">
        <v>1174</v>
      </c>
      <c r="B65" s="100" t="s">
        <v>1175</v>
      </c>
      <c r="C65" s="100" t="s">
        <v>1176</v>
      </c>
      <c r="D65" s="102" t="s">
        <v>5</v>
      </c>
      <c r="E65" s="102" t="s">
        <v>788</v>
      </c>
      <c r="F65" s="45" t="s">
        <v>130</v>
      </c>
      <c r="G65" s="47">
        <f>(1-3250/4934)*100</f>
        <v>34.1305229023105</v>
      </c>
    </row>
    <row r="66" spans="1:7" ht="31.5" customHeight="1">
      <c r="A66" s="101"/>
      <c r="B66" s="101"/>
      <c r="C66" s="101"/>
      <c r="D66" s="103"/>
      <c r="E66" s="103"/>
      <c r="F66" s="45" t="s">
        <v>131</v>
      </c>
      <c r="G66" s="47">
        <v>42.66315362788813</v>
      </c>
    </row>
    <row r="67" spans="1:7" ht="15.75" customHeight="1">
      <c r="A67" s="104" t="s">
        <v>119</v>
      </c>
      <c r="B67" s="104" t="s">
        <v>120</v>
      </c>
      <c r="C67" s="104" t="s">
        <v>65</v>
      </c>
      <c r="D67" s="104" t="s">
        <v>121</v>
      </c>
      <c r="E67" s="104" t="s">
        <v>122</v>
      </c>
      <c r="F67" s="45" t="s">
        <v>123</v>
      </c>
      <c r="G67" s="46">
        <v>80</v>
      </c>
    </row>
    <row r="68" spans="1:7" ht="15.75">
      <c r="A68" s="105"/>
      <c r="B68" s="105"/>
      <c r="C68" s="105"/>
      <c r="D68" s="105"/>
      <c r="E68" s="105"/>
      <c r="F68" s="45" t="s">
        <v>124</v>
      </c>
      <c r="G68" s="46">
        <v>80</v>
      </c>
    </row>
    <row r="69" spans="1:7" ht="37.5" customHeight="1">
      <c r="A69" s="100" t="s">
        <v>1177</v>
      </c>
      <c r="B69" s="100" t="s">
        <v>1178</v>
      </c>
      <c r="C69" s="100" t="s">
        <v>1179</v>
      </c>
      <c r="D69" s="102" t="s">
        <v>5</v>
      </c>
      <c r="E69" s="102" t="s">
        <v>788</v>
      </c>
      <c r="F69" s="45" t="s">
        <v>130</v>
      </c>
      <c r="G69" s="47">
        <f>(1-3781/4921)*100</f>
        <v>23.166023166023166</v>
      </c>
    </row>
    <row r="70" spans="1:7" ht="37.5" customHeight="1">
      <c r="A70" s="101"/>
      <c r="B70" s="101"/>
      <c r="C70" s="101"/>
      <c r="D70" s="103"/>
      <c r="E70" s="103"/>
      <c r="F70" s="45" t="s">
        <v>131</v>
      </c>
      <c r="G70" s="47">
        <v>28.957528957528957</v>
      </c>
    </row>
    <row r="71" spans="1:7" ht="15.75" customHeight="1">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30.75" customHeight="1">
      <c r="A73" s="100" t="s">
        <v>1180</v>
      </c>
      <c r="B73" s="100" t="s">
        <v>1181</v>
      </c>
      <c r="C73" s="100" t="s">
        <v>1182</v>
      </c>
      <c r="D73" s="102" t="s">
        <v>5</v>
      </c>
      <c r="E73" s="102" t="s">
        <v>788</v>
      </c>
      <c r="F73" s="45" t="s">
        <v>130</v>
      </c>
      <c r="G73" s="47">
        <f>((54+54)/(54*2))*100</f>
        <v>100</v>
      </c>
    </row>
    <row r="74" spans="1:7" ht="30.75" customHeight="1">
      <c r="A74" s="101"/>
      <c r="B74" s="101"/>
      <c r="C74" s="101"/>
      <c r="D74" s="103"/>
      <c r="E74" s="103"/>
      <c r="F74" s="45" t="s">
        <v>131</v>
      </c>
      <c r="G74" s="47">
        <v>100</v>
      </c>
    </row>
    <row r="75" spans="1:7" ht="15.75" customHeight="1">
      <c r="A75" s="104" t="s">
        <v>119</v>
      </c>
      <c r="B75" s="104" t="s">
        <v>120</v>
      </c>
      <c r="C75" s="104" t="s">
        <v>65</v>
      </c>
      <c r="D75" s="104" t="s">
        <v>121</v>
      </c>
      <c r="E75" s="104" t="s">
        <v>122</v>
      </c>
      <c r="F75" s="45" t="s">
        <v>123</v>
      </c>
      <c r="G75" s="46">
        <v>100</v>
      </c>
    </row>
    <row r="76" spans="1:7" ht="15.75">
      <c r="A76" s="105"/>
      <c r="B76" s="105"/>
      <c r="C76" s="105"/>
      <c r="D76" s="105"/>
      <c r="E76" s="105"/>
      <c r="F76" s="45" t="s">
        <v>124</v>
      </c>
      <c r="G76" s="46">
        <v>100</v>
      </c>
    </row>
    <row r="77" spans="1:7" ht="33" customHeight="1">
      <c r="A77" s="100" t="s">
        <v>1183</v>
      </c>
      <c r="B77" s="100" t="s">
        <v>1184</v>
      </c>
      <c r="C77" s="100" t="s">
        <v>1185</v>
      </c>
      <c r="D77" s="102" t="s">
        <v>5</v>
      </c>
      <c r="E77" s="102" t="s">
        <v>788</v>
      </c>
      <c r="F77" s="45" t="s">
        <v>130</v>
      </c>
      <c r="G77" s="47">
        <f>(9879-0)/(9879-0)*100</f>
        <v>100</v>
      </c>
    </row>
    <row r="78" spans="1:7" ht="33" customHeight="1">
      <c r="A78" s="101"/>
      <c r="B78" s="101"/>
      <c r="C78" s="101"/>
      <c r="D78" s="103"/>
      <c r="E78" s="103"/>
      <c r="F78" s="45" t="s">
        <v>131</v>
      </c>
      <c r="G78" s="47">
        <f>(G77*100)/G74</f>
        <v>100</v>
      </c>
    </row>
    <row r="79" spans="1:7" ht="15.75" customHeight="1">
      <c r="A79" s="104" t="s">
        <v>119</v>
      </c>
      <c r="B79" s="104" t="s">
        <v>120</v>
      </c>
      <c r="C79" s="104" t="s">
        <v>65</v>
      </c>
      <c r="D79" s="104" t="s">
        <v>121</v>
      </c>
      <c r="E79" s="104" t="s">
        <v>122</v>
      </c>
      <c r="F79" s="45" t="s">
        <v>123</v>
      </c>
      <c r="G79" s="46">
        <v>100</v>
      </c>
    </row>
    <row r="80" spans="1:7" ht="15.75">
      <c r="A80" s="105"/>
      <c r="B80" s="105"/>
      <c r="C80" s="105"/>
      <c r="D80" s="105"/>
      <c r="E80" s="105"/>
      <c r="F80" s="45" t="s">
        <v>124</v>
      </c>
      <c r="G80" s="46">
        <v>100</v>
      </c>
    </row>
    <row r="81" spans="1:7" ht="15.75" customHeight="1">
      <c r="A81" s="100" t="s">
        <v>1186</v>
      </c>
      <c r="B81" s="100" t="s">
        <v>1187</v>
      </c>
      <c r="C81" s="100" t="s">
        <v>1188</v>
      </c>
      <c r="D81" s="102" t="s">
        <v>5</v>
      </c>
      <c r="E81" s="102" t="s">
        <v>788</v>
      </c>
      <c r="F81" s="45" t="s">
        <v>130</v>
      </c>
      <c r="G81" s="47">
        <f>48/48*100</f>
        <v>100</v>
      </c>
    </row>
    <row r="82" spans="1:7" ht="27">
      <c r="A82" s="101"/>
      <c r="B82" s="101"/>
      <c r="C82" s="101"/>
      <c r="D82" s="103"/>
      <c r="E82" s="103"/>
      <c r="F82" s="45" t="s">
        <v>131</v>
      </c>
      <c r="G82" s="47">
        <v>100</v>
      </c>
    </row>
    <row r="83" spans="1:7" ht="15.75" customHeight="1">
      <c r="A83" s="104" t="s">
        <v>119</v>
      </c>
      <c r="B83" s="104" t="s">
        <v>120</v>
      </c>
      <c r="C83" s="104" t="s">
        <v>65</v>
      </c>
      <c r="D83" s="104" t="s">
        <v>121</v>
      </c>
      <c r="E83" s="104" t="s">
        <v>122</v>
      </c>
      <c r="F83" s="45" t="s">
        <v>123</v>
      </c>
      <c r="G83" s="46">
        <v>100</v>
      </c>
    </row>
    <row r="84" spans="1:7" ht="15.75">
      <c r="A84" s="105"/>
      <c r="B84" s="105"/>
      <c r="C84" s="105"/>
      <c r="D84" s="105"/>
      <c r="E84" s="105"/>
      <c r="F84" s="45" t="s">
        <v>124</v>
      </c>
      <c r="G84" s="46">
        <v>100</v>
      </c>
    </row>
    <row r="85" spans="1:7" ht="15.75" customHeight="1">
      <c r="A85" s="100" t="s">
        <v>1189</v>
      </c>
      <c r="B85" s="100" t="s">
        <v>1190</v>
      </c>
      <c r="C85" s="100" t="s">
        <v>1191</v>
      </c>
      <c r="D85" s="102" t="s">
        <v>5</v>
      </c>
      <c r="E85" s="102" t="s">
        <v>364</v>
      </c>
      <c r="F85" s="45" t="s">
        <v>130</v>
      </c>
      <c r="G85" s="47">
        <f>221/221*100</f>
        <v>100</v>
      </c>
    </row>
    <row r="86" spans="1:7" ht="40.5" customHeight="1">
      <c r="A86" s="101"/>
      <c r="B86" s="101"/>
      <c r="C86" s="101"/>
      <c r="D86" s="103"/>
      <c r="E86" s="103"/>
      <c r="F86" s="45" t="s">
        <v>131</v>
      </c>
      <c r="G86" s="47">
        <v>100</v>
      </c>
    </row>
    <row r="87" spans="1:7" ht="15.75" customHeight="1">
      <c r="A87" s="104" t="s">
        <v>119</v>
      </c>
      <c r="B87" s="104" t="s">
        <v>120</v>
      </c>
      <c r="C87" s="104" t="s">
        <v>65</v>
      </c>
      <c r="D87" s="104" t="s">
        <v>121</v>
      </c>
      <c r="E87" s="104" t="s">
        <v>122</v>
      </c>
      <c r="F87" s="45" t="s">
        <v>123</v>
      </c>
      <c r="G87" s="46">
        <v>100</v>
      </c>
    </row>
    <row r="88" spans="1:7" ht="15.75">
      <c r="A88" s="105"/>
      <c r="B88" s="105"/>
      <c r="C88" s="105"/>
      <c r="D88" s="105"/>
      <c r="E88" s="105"/>
      <c r="F88" s="45" t="s">
        <v>124</v>
      </c>
      <c r="G88" s="46">
        <v>100</v>
      </c>
    </row>
    <row r="89" spans="1:7" ht="34.5" customHeight="1">
      <c r="A89" s="100" t="s">
        <v>1192</v>
      </c>
      <c r="B89" s="100" t="s">
        <v>1193</v>
      </c>
      <c r="C89" s="100" t="s">
        <v>1194</v>
      </c>
      <c r="D89" s="102" t="s">
        <v>5</v>
      </c>
      <c r="E89" s="102" t="s">
        <v>788</v>
      </c>
      <c r="F89" s="45" t="s">
        <v>130</v>
      </c>
      <c r="G89" s="47">
        <f>(1-6/225)*100</f>
        <v>97.33333333333334</v>
      </c>
    </row>
    <row r="90" spans="1:7" ht="34.5" customHeight="1">
      <c r="A90" s="101"/>
      <c r="B90" s="101"/>
      <c r="C90" s="101"/>
      <c r="D90" s="103"/>
      <c r="E90" s="103"/>
      <c r="F90" s="45" t="s">
        <v>131</v>
      </c>
      <c r="G90" s="47">
        <v>97.33333333333334</v>
      </c>
    </row>
    <row r="91" spans="1:7" ht="15.75" customHeight="1">
      <c r="A91" s="104" t="s">
        <v>119</v>
      </c>
      <c r="B91" s="104" t="s">
        <v>120</v>
      </c>
      <c r="C91" s="104" t="s">
        <v>65</v>
      </c>
      <c r="D91" s="104" t="s">
        <v>121</v>
      </c>
      <c r="E91" s="104" t="s">
        <v>122</v>
      </c>
      <c r="F91" s="45" t="s">
        <v>123</v>
      </c>
      <c r="G91" s="46">
        <v>100</v>
      </c>
    </row>
    <row r="92" spans="1:7" ht="15.75">
      <c r="A92" s="105"/>
      <c r="B92" s="105"/>
      <c r="C92" s="105"/>
      <c r="D92" s="105"/>
      <c r="E92" s="105"/>
      <c r="F92" s="45" t="s">
        <v>124</v>
      </c>
      <c r="G92" s="46">
        <v>100</v>
      </c>
    </row>
    <row r="93" spans="1:7" ht="34.5" customHeight="1">
      <c r="A93" s="100" t="s">
        <v>1195</v>
      </c>
      <c r="B93" s="100" t="s">
        <v>1196</v>
      </c>
      <c r="C93" s="100" t="s">
        <v>1197</v>
      </c>
      <c r="D93" s="102" t="s">
        <v>5</v>
      </c>
      <c r="E93" s="102" t="s">
        <v>788</v>
      </c>
      <c r="F93" s="45" t="s">
        <v>130</v>
      </c>
      <c r="G93" s="47">
        <f>37/46*100</f>
        <v>80.43478260869566</v>
      </c>
    </row>
    <row r="94" spans="1:7" ht="34.5" customHeight="1">
      <c r="A94" s="101"/>
      <c r="B94" s="101"/>
      <c r="C94" s="101"/>
      <c r="D94" s="103"/>
      <c r="E94" s="103"/>
      <c r="F94" s="45" t="s">
        <v>131</v>
      </c>
      <c r="G94" s="47">
        <v>80.43478260869566</v>
      </c>
    </row>
    <row r="95" spans="1:7" ht="15.75" customHeight="1">
      <c r="A95" s="104" t="s">
        <v>119</v>
      </c>
      <c r="B95" s="104" t="s">
        <v>120</v>
      </c>
      <c r="C95" s="104" t="s">
        <v>65</v>
      </c>
      <c r="D95" s="104" t="s">
        <v>121</v>
      </c>
      <c r="E95" s="104" t="s">
        <v>122</v>
      </c>
      <c r="F95" s="45" t="s">
        <v>123</v>
      </c>
      <c r="G95" s="46">
        <v>97</v>
      </c>
    </row>
    <row r="96" spans="1:7" ht="15.75">
      <c r="A96" s="105"/>
      <c r="B96" s="105"/>
      <c r="C96" s="105"/>
      <c r="D96" s="105"/>
      <c r="E96" s="105"/>
      <c r="F96" s="45" t="s">
        <v>124</v>
      </c>
      <c r="G96" s="46">
        <v>97</v>
      </c>
    </row>
    <row r="97" spans="1:7" ht="15.75" customHeight="1">
      <c r="A97" s="100" t="s">
        <v>1198</v>
      </c>
      <c r="B97" s="100" t="s">
        <v>1199</v>
      </c>
      <c r="C97" s="100" t="s">
        <v>1200</v>
      </c>
      <c r="D97" s="102" t="s">
        <v>5</v>
      </c>
      <c r="E97" s="102" t="s">
        <v>150</v>
      </c>
      <c r="F97" s="45" t="s">
        <v>130</v>
      </c>
      <c r="G97" s="47">
        <f>(1-7/54)*100</f>
        <v>87.03703703703704</v>
      </c>
    </row>
    <row r="98" spans="1:7" ht="40.5" customHeight="1">
      <c r="A98" s="101"/>
      <c r="B98" s="101"/>
      <c r="C98" s="101"/>
      <c r="D98" s="103"/>
      <c r="E98" s="103"/>
      <c r="F98" s="45" t="s">
        <v>131</v>
      </c>
      <c r="G98" s="47">
        <v>89.72890416189387</v>
      </c>
    </row>
    <row r="99" spans="1:7" ht="15.75" customHeight="1">
      <c r="A99" s="104" t="s">
        <v>119</v>
      </c>
      <c r="B99" s="104" t="s">
        <v>120</v>
      </c>
      <c r="C99" s="104" t="s">
        <v>65</v>
      </c>
      <c r="D99" s="104" t="s">
        <v>121</v>
      </c>
      <c r="E99" s="104" t="s">
        <v>122</v>
      </c>
      <c r="F99" s="45" t="s">
        <v>123</v>
      </c>
      <c r="G99" s="46">
        <v>90</v>
      </c>
    </row>
    <row r="100" spans="1:7" ht="15.75">
      <c r="A100" s="105"/>
      <c r="B100" s="105"/>
      <c r="C100" s="105"/>
      <c r="D100" s="105"/>
      <c r="E100" s="105"/>
      <c r="F100" s="45" t="s">
        <v>124</v>
      </c>
      <c r="G100" s="46">
        <v>90</v>
      </c>
    </row>
    <row r="101" spans="1:7" ht="15.75" customHeight="1">
      <c r="A101" s="100" t="s">
        <v>1201</v>
      </c>
      <c r="B101" s="100" t="s">
        <v>1202</v>
      </c>
      <c r="C101" s="100" t="s">
        <v>1203</v>
      </c>
      <c r="D101" s="102" t="s">
        <v>5</v>
      </c>
      <c r="E101" s="102" t="s">
        <v>150</v>
      </c>
      <c r="F101" s="45" t="s">
        <v>130</v>
      </c>
      <c r="G101" s="47">
        <f>(1-15/54)*100</f>
        <v>72.22222222222221</v>
      </c>
    </row>
    <row r="102" spans="1:7" ht="40.5" customHeight="1">
      <c r="A102" s="101"/>
      <c r="B102" s="101"/>
      <c r="C102" s="101"/>
      <c r="D102" s="103"/>
      <c r="E102" s="103"/>
      <c r="F102" s="45" t="s">
        <v>131</v>
      </c>
      <c r="G102" s="47">
        <v>80.24691358024691</v>
      </c>
    </row>
    <row r="103" spans="1:7" ht="15.75" customHeight="1">
      <c r="A103" s="104" t="s">
        <v>119</v>
      </c>
      <c r="B103" s="104" t="s">
        <v>120</v>
      </c>
      <c r="C103" s="104" t="s">
        <v>65</v>
      </c>
      <c r="D103" s="104" t="s">
        <v>121</v>
      </c>
      <c r="E103" s="104" t="s">
        <v>122</v>
      </c>
      <c r="F103" s="45" t="s">
        <v>123</v>
      </c>
      <c r="G103" s="46">
        <v>96</v>
      </c>
    </row>
    <row r="104" spans="1:7" ht="15.75">
      <c r="A104" s="105"/>
      <c r="B104" s="105"/>
      <c r="C104" s="105"/>
      <c r="D104" s="105"/>
      <c r="E104" s="105"/>
      <c r="F104" s="45" t="s">
        <v>124</v>
      </c>
      <c r="G104" s="46">
        <v>96</v>
      </c>
    </row>
    <row r="105" spans="1:7" ht="34.5" customHeight="1">
      <c r="A105" s="100" t="s">
        <v>1204</v>
      </c>
      <c r="B105" s="100" t="s">
        <v>1205</v>
      </c>
      <c r="C105" s="100" t="s">
        <v>1206</v>
      </c>
      <c r="D105" s="102" t="s">
        <v>5</v>
      </c>
      <c r="E105" s="102" t="s">
        <v>364</v>
      </c>
      <c r="F105" s="45" t="s">
        <v>130</v>
      </c>
      <c r="G105" s="47">
        <f>(1-1/15)*100</f>
        <v>93.33333333333333</v>
      </c>
    </row>
    <row r="106" spans="1:7" ht="34.5" customHeight="1">
      <c r="A106" s="101"/>
      <c r="B106" s="101"/>
      <c r="C106" s="101"/>
      <c r="D106" s="103"/>
      <c r="E106" s="103"/>
      <c r="F106" s="45" t="s">
        <v>131</v>
      </c>
      <c r="G106" s="47">
        <v>97.22222222222221</v>
      </c>
    </row>
    <row r="107" spans="1:7" ht="15.75" customHeight="1">
      <c r="A107" s="104" t="s">
        <v>119</v>
      </c>
      <c r="B107" s="104" t="s">
        <v>120</v>
      </c>
      <c r="C107" s="104" t="s">
        <v>65</v>
      </c>
      <c r="D107" s="104" t="s">
        <v>121</v>
      </c>
      <c r="E107" s="104" t="s">
        <v>122</v>
      </c>
      <c r="F107" s="45" t="s">
        <v>123</v>
      </c>
      <c r="G107" s="46">
        <v>95</v>
      </c>
    </row>
    <row r="108" spans="1:7" ht="15.75">
      <c r="A108" s="105"/>
      <c r="B108" s="105"/>
      <c r="C108" s="105"/>
      <c r="D108" s="105"/>
      <c r="E108" s="105"/>
      <c r="F108" s="45" t="s">
        <v>124</v>
      </c>
      <c r="G108" s="46">
        <v>95</v>
      </c>
    </row>
    <row r="109" spans="1:7" ht="34.5" customHeight="1">
      <c r="A109" s="100" t="s">
        <v>1207</v>
      </c>
      <c r="B109" s="100" t="s">
        <v>1208</v>
      </c>
      <c r="C109" s="100" t="s">
        <v>1209</v>
      </c>
      <c r="D109" s="102" t="s">
        <v>5</v>
      </c>
      <c r="E109" s="102" t="s">
        <v>788</v>
      </c>
      <c r="F109" s="45" t="s">
        <v>130</v>
      </c>
      <c r="G109" s="47">
        <f>(1-6/154)*100</f>
        <v>96.1038961038961</v>
      </c>
    </row>
    <row r="110" spans="1:7" ht="34.5" customHeight="1">
      <c r="A110" s="101"/>
      <c r="B110" s="101"/>
      <c r="C110" s="101"/>
      <c r="D110" s="103"/>
      <c r="E110" s="103"/>
      <c r="F110" s="45" t="s">
        <v>131</v>
      </c>
      <c r="G110" s="47">
        <v>101.16199589883801</v>
      </c>
    </row>
    <row r="111" spans="1:7" ht="15.75">
      <c r="A111" s="96" t="s">
        <v>192</v>
      </c>
      <c r="B111" s="96"/>
      <c r="C111" s="96"/>
      <c r="D111" s="96"/>
      <c r="E111" s="96"/>
      <c r="F111" s="96"/>
      <c r="G111" s="96"/>
    </row>
    <row r="112" spans="1:7" ht="15.75">
      <c r="A112" s="99" t="str">
        <f>A31</f>
        <v>Número de días promedio en el se da cumplimiento a las resoluciones del pleno a los medios de impugnación</v>
      </c>
      <c r="B112" s="99"/>
      <c r="C112" s="99"/>
      <c r="D112" s="99"/>
      <c r="E112" s="99"/>
      <c r="F112" s="99"/>
      <c r="G112" s="99"/>
    </row>
    <row r="113" spans="1:7" ht="65.25" customHeight="1">
      <c r="A113" s="48" t="s">
        <v>193</v>
      </c>
      <c r="B113" s="94" t="s">
        <v>1210</v>
      </c>
      <c r="C113" s="94"/>
      <c r="D113" s="94"/>
      <c r="E113" s="94"/>
      <c r="F113" s="94"/>
      <c r="G113" s="94"/>
    </row>
    <row r="114" spans="1:7" ht="15.75">
      <c r="A114" s="49" t="s">
        <v>6</v>
      </c>
      <c r="B114" s="94" t="s">
        <v>1211</v>
      </c>
      <c r="C114" s="94"/>
      <c r="D114" s="94"/>
      <c r="E114" s="94"/>
      <c r="F114" s="94"/>
      <c r="G114" s="94"/>
    </row>
    <row r="115" spans="1:7" ht="15.75">
      <c r="A115" s="49" t="s">
        <v>195</v>
      </c>
      <c r="B115" s="95"/>
      <c r="C115" s="95"/>
      <c r="D115" s="95"/>
      <c r="E115" s="95"/>
      <c r="F115" s="95"/>
      <c r="G115" s="95"/>
    </row>
    <row r="116" spans="1:7" ht="15.75">
      <c r="A116" s="90" t="str">
        <f>A37</f>
        <v>Número de días promedio en el que se resuelven medios de impugnación en materia de acceso a la información y protección de datos personales en posesión de sujetos obligados y se notifican.</v>
      </c>
      <c r="B116" s="90"/>
      <c r="C116" s="90"/>
      <c r="D116" s="90"/>
      <c r="E116" s="90"/>
      <c r="F116" s="90"/>
      <c r="G116" s="90"/>
    </row>
    <row r="117" spans="1:7" ht="72.75" customHeight="1">
      <c r="A117" s="49" t="s">
        <v>193</v>
      </c>
      <c r="B117" s="94" t="s">
        <v>1212</v>
      </c>
      <c r="C117" s="94"/>
      <c r="D117" s="94"/>
      <c r="E117" s="94"/>
      <c r="F117" s="94"/>
      <c r="G117" s="94"/>
    </row>
    <row r="118" spans="1:7" ht="15.75">
      <c r="A118" s="49" t="s">
        <v>6</v>
      </c>
      <c r="B118" s="94" t="s">
        <v>1211</v>
      </c>
      <c r="C118" s="94"/>
      <c r="D118" s="94"/>
      <c r="E118" s="94"/>
      <c r="F118" s="94"/>
      <c r="G118" s="94"/>
    </row>
    <row r="119" spans="1:7" ht="15.75">
      <c r="A119" s="49" t="s">
        <v>195</v>
      </c>
      <c r="B119" s="95"/>
      <c r="C119" s="95"/>
      <c r="D119" s="95"/>
      <c r="E119" s="95"/>
      <c r="F119" s="95"/>
      <c r="G119" s="95"/>
    </row>
    <row r="120" spans="1:7" ht="15.75">
      <c r="A120" s="90" t="str">
        <f>A43</f>
        <v>Porcentaje de gestiones realizadas en tiempo respecto a las gestiones realizadas en el periodo.</v>
      </c>
      <c r="B120" s="90"/>
      <c r="C120" s="90"/>
      <c r="D120" s="90"/>
      <c r="E120" s="90"/>
      <c r="F120" s="90"/>
      <c r="G120" s="90"/>
    </row>
    <row r="121" spans="1:7" ht="77.25" customHeight="1">
      <c r="A121" s="48" t="s">
        <v>193</v>
      </c>
      <c r="B121" s="98" t="s">
        <v>1213</v>
      </c>
      <c r="C121" s="98"/>
      <c r="D121" s="98"/>
      <c r="E121" s="98"/>
      <c r="F121" s="98"/>
      <c r="G121" s="98"/>
    </row>
    <row r="122" spans="1:7" ht="15.75">
      <c r="A122" s="49" t="s">
        <v>6</v>
      </c>
      <c r="B122" s="94" t="s">
        <v>1211</v>
      </c>
      <c r="C122" s="94"/>
      <c r="D122" s="94"/>
      <c r="E122" s="94"/>
      <c r="F122" s="94"/>
      <c r="G122" s="94"/>
    </row>
    <row r="123" spans="1:7" ht="15.75">
      <c r="A123" s="49" t="s">
        <v>195</v>
      </c>
      <c r="B123" s="95"/>
      <c r="C123" s="95"/>
      <c r="D123" s="95"/>
      <c r="E123" s="95"/>
      <c r="F123" s="95"/>
      <c r="G123" s="95"/>
    </row>
    <row r="124" spans="1:7" ht="15.75">
      <c r="A124" s="90" t="str">
        <f>A47</f>
        <v>Porcentaje de acciones del Pleno que en el periodo fueron publicadas respecto del total de acciones concretadas en el periodo de medición.</v>
      </c>
      <c r="B124" s="90"/>
      <c r="C124" s="90"/>
      <c r="D124" s="90"/>
      <c r="E124" s="90"/>
      <c r="F124" s="90"/>
      <c r="G124" s="90"/>
    </row>
    <row r="125" spans="1:7" ht="31.5" customHeight="1">
      <c r="A125" s="49" t="s">
        <v>193</v>
      </c>
      <c r="B125" s="94" t="s">
        <v>1214</v>
      </c>
      <c r="C125" s="94"/>
      <c r="D125" s="94"/>
      <c r="E125" s="94"/>
      <c r="F125" s="94"/>
      <c r="G125" s="94"/>
    </row>
    <row r="126" spans="1:7" ht="31.5" customHeight="1">
      <c r="A126" s="49" t="s">
        <v>6</v>
      </c>
      <c r="B126" s="94" t="s">
        <v>1215</v>
      </c>
      <c r="C126" s="94"/>
      <c r="D126" s="94"/>
      <c r="E126" s="94"/>
      <c r="F126" s="94"/>
      <c r="G126" s="94"/>
    </row>
    <row r="127" spans="1:7" ht="15.75">
      <c r="A127" s="49" t="s">
        <v>195</v>
      </c>
      <c r="B127" s="95"/>
      <c r="C127" s="95"/>
      <c r="D127" s="95"/>
      <c r="E127" s="95"/>
      <c r="F127" s="95"/>
      <c r="G127" s="95"/>
    </row>
    <row r="128" spans="1:7" ht="15.75">
      <c r="A128" s="90" t="str">
        <f>A51</f>
        <v>Porcentaje de las instrucciones derivadas de los Acuerdos del Pleno para el cuál las Unidades Administrativas han dado respuesta alguna respecto de su cumplimiento.</v>
      </c>
      <c r="B128" s="90"/>
      <c r="C128" s="90"/>
      <c r="D128" s="90"/>
      <c r="E128" s="90"/>
      <c r="F128" s="90"/>
      <c r="G128" s="90"/>
    </row>
    <row r="129" spans="1:7" ht="51.75" customHeight="1">
      <c r="A129" s="49" t="s">
        <v>193</v>
      </c>
      <c r="B129" s="94" t="s">
        <v>1216</v>
      </c>
      <c r="C129" s="94"/>
      <c r="D129" s="94"/>
      <c r="E129" s="94"/>
      <c r="F129" s="94"/>
      <c r="G129" s="94"/>
    </row>
    <row r="130" spans="1:7" ht="31.5" customHeight="1">
      <c r="A130" s="49" t="s">
        <v>6</v>
      </c>
      <c r="B130" s="94" t="s">
        <v>1217</v>
      </c>
      <c r="C130" s="94"/>
      <c r="D130" s="94"/>
      <c r="E130" s="94"/>
      <c r="F130" s="94"/>
      <c r="G130" s="94"/>
    </row>
    <row r="131" spans="1:7" ht="15.75">
      <c r="A131" s="49" t="s">
        <v>195</v>
      </c>
      <c r="B131" s="95"/>
      <c r="C131" s="95"/>
      <c r="D131" s="95"/>
      <c r="E131" s="95"/>
      <c r="F131" s="95"/>
      <c r="G131" s="95"/>
    </row>
    <row r="132" spans="1:7" ht="15.75">
      <c r="A132" s="90" t="str">
        <f>A55</f>
        <v>Porcentaje de emisiones trimestrales del estado que guardan los medios de impugnación que fueron reportados en el periodo, respecto a los cuatro trimestres del año.</v>
      </c>
      <c r="B132" s="90"/>
      <c r="C132" s="90"/>
      <c r="D132" s="90"/>
      <c r="E132" s="90"/>
      <c r="F132" s="90"/>
      <c r="G132" s="90"/>
    </row>
    <row r="133" spans="1:7" ht="39" customHeight="1">
      <c r="A133" s="49" t="s">
        <v>193</v>
      </c>
      <c r="B133" s="94" t="s">
        <v>1218</v>
      </c>
      <c r="C133" s="94"/>
      <c r="D133" s="94"/>
      <c r="E133" s="94"/>
      <c r="F133" s="94"/>
      <c r="G133" s="94"/>
    </row>
    <row r="134" spans="1:7" ht="15.75">
      <c r="A134" s="49" t="s">
        <v>6</v>
      </c>
      <c r="B134" s="94" t="s">
        <v>1219</v>
      </c>
      <c r="C134" s="94"/>
      <c r="D134" s="94"/>
      <c r="E134" s="94"/>
      <c r="F134" s="94"/>
      <c r="G134" s="94"/>
    </row>
    <row r="135" spans="1:7" ht="15.75">
      <c r="A135" s="49" t="s">
        <v>195</v>
      </c>
      <c r="B135" s="95"/>
      <c r="C135" s="95"/>
      <c r="D135" s="95"/>
      <c r="E135" s="95"/>
      <c r="F135" s="95"/>
      <c r="G135" s="95"/>
    </row>
    <row r="136" spans="1:7" ht="15.75">
      <c r="A136" s="90" t="str">
        <f>A61</f>
        <v>Porcentaje de medios de impugnación recibidos en el Instituto que  fueron turnados respecto al total de los medios de impugnación recibidos.</v>
      </c>
      <c r="B136" s="90"/>
      <c r="C136" s="90"/>
      <c r="D136" s="90"/>
      <c r="E136" s="90"/>
      <c r="F136" s="90"/>
      <c r="G136" s="90"/>
    </row>
    <row r="137" spans="1:7" ht="39.75" customHeight="1">
      <c r="A137" s="49" t="s">
        <v>193</v>
      </c>
      <c r="B137" s="94" t="s">
        <v>1220</v>
      </c>
      <c r="C137" s="94"/>
      <c r="D137" s="94"/>
      <c r="E137" s="94"/>
      <c r="F137" s="94"/>
      <c r="G137" s="94"/>
    </row>
    <row r="138" spans="1:7" ht="31.5" customHeight="1">
      <c r="A138" s="49" t="s">
        <v>6</v>
      </c>
      <c r="B138" s="94" t="s">
        <v>1221</v>
      </c>
      <c r="C138" s="94"/>
      <c r="D138" s="94"/>
      <c r="E138" s="94"/>
      <c r="F138" s="94"/>
      <c r="G138" s="94"/>
    </row>
    <row r="139" spans="1:7" ht="15.75">
      <c r="A139" s="49" t="s">
        <v>195</v>
      </c>
      <c r="B139" s="95"/>
      <c r="C139" s="95"/>
      <c r="D139" s="95"/>
      <c r="E139" s="95"/>
      <c r="F139" s="95"/>
      <c r="G139" s="95"/>
    </row>
    <row r="140" spans="1:7" ht="15.75">
      <c r="A140" s="90" t="str">
        <f>A65</f>
        <v>Porcentaje de resoluciones a medios de impugnación procesados en menor tiempo respecto a las resoluciones votadas y aprobadas.</v>
      </c>
      <c r="B140" s="90"/>
      <c r="C140" s="90"/>
      <c r="D140" s="90"/>
      <c r="E140" s="90"/>
      <c r="F140" s="90"/>
      <c r="G140" s="90"/>
    </row>
    <row r="141" spans="1:7" ht="66.75" customHeight="1">
      <c r="A141" s="49" t="s">
        <v>193</v>
      </c>
      <c r="B141" s="94" t="s">
        <v>1222</v>
      </c>
      <c r="C141" s="94"/>
      <c r="D141" s="94"/>
      <c r="E141" s="94"/>
      <c r="F141" s="94"/>
      <c r="G141" s="94"/>
    </row>
    <row r="142" spans="1:7" ht="15.75">
      <c r="A142" s="49" t="s">
        <v>6</v>
      </c>
      <c r="B142" s="94" t="s">
        <v>1211</v>
      </c>
      <c r="C142" s="94"/>
      <c r="D142" s="94"/>
      <c r="E142" s="94"/>
      <c r="F142" s="94"/>
      <c r="G142" s="94"/>
    </row>
    <row r="143" spans="1:7" ht="15.75">
      <c r="A143" s="49" t="s">
        <v>195</v>
      </c>
      <c r="B143" s="95" t="s">
        <v>259</v>
      </c>
      <c r="C143" s="95"/>
      <c r="D143" s="95"/>
      <c r="E143" s="95"/>
      <c r="F143" s="95"/>
      <c r="G143" s="95"/>
    </row>
    <row r="144" spans="1:7" ht="15.75">
      <c r="A144" s="90" t="str">
        <f>A69</f>
        <v>Porcentaje de resoluciones a medios de impugnación que  fueron notificadas en el tiempo establecido en la Ley General de Transparencia y Acceso a la Información Pública, respecto a las resoluciones votadas y aprobadas.</v>
      </c>
      <c r="B144" s="90"/>
      <c r="C144" s="90"/>
      <c r="D144" s="90"/>
      <c r="E144" s="90"/>
      <c r="F144" s="90"/>
      <c r="G144" s="90"/>
    </row>
    <row r="145" spans="1:7" ht="52.5" customHeight="1">
      <c r="A145" s="49" t="s">
        <v>193</v>
      </c>
      <c r="B145" s="94" t="s">
        <v>1223</v>
      </c>
      <c r="C145" s="94"/>
      <c r="D145" s="94"/>
      <c r="E145" s="94"/>
      <c r="F145" s="94"/>
      <c r="G145" s="94"/>
    </row>
    <row r="146" spans="1:7" ht="15.75">
      <c r="A146" s="49" t="s">
        <v>6</v>
      </c>
      <c r="B146" s="94" t="s">
        <v>1211</v>
      </c>
      <c r="C146" s="94"/>
      <c r="D146" s="94"/>
      <c r="E146" s="94"/>
      <c r="F146" s="94"/>
      <c r="G146" s="94"/>
    </row>
    <row r="147" spans="1:7" ht="15.75">
      <c r="A147" s="49" t="s">
        <v>195</v>
      </c>
      <c r="B147" s="95"/>
      <c r="C147" s="95"/>
      <c r="D147" s="95"/>
      <c r="E147" s="95"/>
      <c r="F147" s="95"/>
      <c r="G147" s="95"/>
    </row>
    <row r="148" spans="1:7" ht="15.75">
      <c r="A148" s="90" t="str">
        <f>A73</f>
        <v>Porcentaje de los audios y las versiones estenográficas de las sesiones del Pleno que han sido difundidas al público en general respecto del total de veces que el Pleno tuvo sesión en el periodo de medición.</v>
      </c>
      <c r="B148" s="90"/>
      <c r="C148" s="90"/>
      <c r="D148" s="90"/>
      <c r="E148" s="90"/>
      <c r="F148" s="90"/>
      <c r="G148" s="90"/>
    </row>
    <row r="149" spans="1:7" ht="31.5" customHeight="1">
      <c r="A149" s="49" t="s">
        <v>193</v>
      </c>
      <c r="B149" s="94" t="s">
        <v>1224</v>
      </c>
      <c r="C149" s="94"/>
      <c r="D149" s="94"/>
      <c r="E149" s="94"/>
      <c r="F149" s="94"/>
      <c r="G149" s="94"/>
    </row>
    <row r="150" spans="1:7" ht="15.75">
      <c r="A150" s="49" t="s">
        <v>6</v>
      </c>
      <c r="B150" s="94" t="s">
        <v>1225</v>
      </c>
      <c r="C150" s="94"/>
      <c r="D150" s="94"/>
      <c r="E150" s="94"/>
      <c r="F150" s="94"/>
      <c r="G150" s="94"/>
    </row>
    <row r="151" spans="1:7" ht="15.75">
      <c r="A151" s="49" t="s">
        <v>195</v>
      </c>
      <c r="B151" s="95"/>
      <c r="C151" s="95"/>
      <c r="D151" s="95"/>
      <c r="E151" s="95"/>
      <c r="F151" s="95"/>
      <c r="G151" s="95"/>
    </row>
    <row r="152" spans="1:7" ht="15.75">
      <c r="A152" s="90" t="str">
        <f>A77</f>
        <v>Porcentaje de los medios de impugnación (RDA, RRA, VFR, RPD, RIA, RAA) que están publicados en la lista de sentidos de resolución, respecto del total de resoluciones a tales medios aprobadas por el Pleno del Instituto.</v>
      </c>
      <c r="B152" s="90"/>
      <c r="C152" s="90"/>
      <c r="D152" s="90"/>
      <c r="E152" s="90"/>
      <c r="F152" s="90"/>
      <c r="G152" s="90"/>
    </row>
    <row r="153" spans="1:7" ht="31.5" customHeight="1">
      <c r="A153" s="49" t="s">
        <v>193</v>
      </c>
      <c r="B153" s="94" t="s">
        <v>1226</v>
      </c>
      <c r="C153" s="94"/>
      <c r="D153" s="94"/>
      <c r="E153" s="94"/>
      <c r="F153" s="94"/>
      <c r="G153" s="94"/>
    </row>
    <row r="154" spans="1:7" ht="15.75">
      <c r="A154" s="49" t="s">
        <v>6</v>
      </c>
      <c r="B154" s="94" t="s">
        <v>1227</v>
      </c>
      <c r="C154" s="94"/>
      <c r="D154" s="94"/>
      <c r="E154" s="94"/>
      <c r="F154" s="94"/>
      <c r="G154" s="94"/>
    </row>
    <row r="155" spans="1:7" ht="15.75">
      <c r="A155" s="49" t="s">
        <v>195</v>
      </c>
      <c r="B155" s="95"/>
      <c r="C155" s="95"/>
      <c r="D155" s="95"/>
      <c r="E155" s="95"/>
      <c r="F155" s="95"/>
      <c r="G155" s="95"/>
    </row>
    <row r="156" spans="1:7" ht="15.75">
      <c r="A156" s="90" t="str">
        <f>A81</f>
        <v>Porcentaje de las Actas de las sesiones públicas del Pleno que han sido concretadas y difundidas al público en general, respecto al total de Actas concretadas.</v>
      </c>
      <c r="B156" s="90"/>
      <c r="C156" s="90"/>
      <c r="D156" s="90"/>
      <c r="E156" s="90"/>
      <c r="F156" s="90"/>
      <c r="G156" s="90"/>
    </row>
    <row r="157" spans="1:7" ht="31.5" customHeight="1">
      <c r="A157" s="49" t="s">
        <v>193</v>
      </c>
      <c r="B157" s="94" t="s">
        <v>1228</v>
      </c>
      <c r="C157" s="94"/>
      <c r="D157" s="94"/>
      <c r="E157" s="94"/>
      <c r="F157" s="94"/>
      <c r="G157" s="94"/>
    </row>
    <row r="158" spans="1:7" ht="31.5" customHeight="1">
      <c r="A158" s="49" t="s">
        <v>6</v>
      </c>
      <c r="B158" s="94" t="s">
        <v>1229</v>
      </c>
      <c r="C158" s="94"/>
      <c r="D158" s="94"/>
      <c r="E158" s="94"/>
      <c r="F158" s="94"/>
      <c r="G158" s="94"/>
    </row>
    <row r="159" spans="1:7" ht="15.75">
      <c r="A159" s="49" t="s">
        <v>195</v>
      </c>
      <c r="B159" s="95"/>
      <c r="C159" s="95"/>
      <c r="D159" s="95"/>
      <c r="E159" s="95"/>
      <c r="F159" s="95"/>
      <c r="G159" s="95"/>
    </row>
    <row r="160" spans="1:7" ht="15.75">
      <c r="A160" s="90" t="str">
        <f>A85</f>
        <v>Porcentaje de los Acuerdos del Pleno que han sido concretados y difundidos al público en general</v>
      </c>
      <c r="B160" s="90"/>
      <c r="C160" s="90"/>
      <c r="D160" s="90"/>
      <c r="E160" s="90"/>
      <c r="F160" s="90"/>
      <c r="G160" s="90"/>
    </row>
    <row r="161" spans="1:7" ht="31.5" customHeight="1">
      <c r="A161" s="49" t="s">
        <v>193</v>
      </c>
      <c r="B161" s="94" t="s">
        <v>1230</v>
      </c>
      <c r="C161" s="94"/>
      <c r="D161" s="94"/>
      <c r="E161" s="94"/>
      <c r="F161" s="94"/>
      <c r="G161" s="94"/>
    </row>
    <row r="162" spans="1:7" ht="15.75">
      <c r="A162" s="49" t="s">
        <v>6</v>
      </c>
      <c r="B162" s="94" t="s">
        <v>1231</v>
      </c>
      <c r="C162" s="94"/>
      <c r="D162" s="94"/>
      <c r="E162" s="94"/>
      <c r="F162" s="94"/>
      <c r="G162" s="94"/>
    </row>
    <row r="163" spans="1:7" ht="15.75">
      <c r="A163" s="49" t="s">
        <v>195</v>
      </c>
      <c r="B163" s="95" t="s">
        <v>259</v>
      </c>
      <c r="C163" s="95"/>
      <c r="D163" s="95"/>
      <c r="E163" s="95"/>
      <c r="F163" s="95"/>
      <c r="G163" s="95"/>
    </row>
    <row r="164" spans="1:7" ht="15.75">
      <c r="A164" s="90" t="str">
        <f>A89</f>
        <v>Porcentaje de proyectos de Acuerdo que tardan un día en elaborarse, una vez que se cuenta con los elementos de fundamentación y motivación necesarios para la elaboración de los mismos, respecto del número total de Acuerdos elaborados en el periodo.</v>
      </c>
      <c r="B164" s="90"/>
      <c r="C164" s="90"/>
      <c r="D164" s="90"/>
      <c r="E164" s="90"/>
      <c r="F164" s="90"/>
      <c r="G164" s="90"/>
    </row>
    <row r="165" spans="1:7" ht="31.5" customHeight="1">
      <c r="A165" s="49" t="s">
        <v>193</v>
      </c>
      <c r="B165" s="94" t="s">
        <v>1232</v>
      </c>
      <c r="C165" s="94"/>
      <c r="D165" s="94"/>
      <c r="E165" s="94"/>
      <c r="F165" s="94"/>
      <c r="G165" s="94"/>
    </row>
    <row r="166" spans="1:7" ht="31.5" customHeight="1">
      <c r="A166" s="49" t="s">
        <v>6</v>
      </c>
      <c r="B166" s="94" t="s">
        <v>1233</v>
      </c>
      <c r="C166" s="94"/>
      <c r="D166" s="94"/>
      <c r="E166" s="94"/>
      <c r="F166" s="94"/>
      <c r="G166" s="94"/>
    </row>
    <row r="167" spans="1:7" ht="15.75">
      <c r="A167" s="49" t="s">
        <v>195</v>
      </c>
      <c r="B167" s="95" t="s">
        <v>259</v>
      </c>
      <c r="C167" s="95"/>
      <c r="D167" s="95"/>
      <c r="E167" s="95"/>
      <c r="F167" s="95"/>
      <c r="G167" s="95"/>
    </row>
    <row r="168" spans="1:7" ht="15.75">
      <c r="A168" s="90" t="str">
        <f>A93</f>
        <v>Porcentaje de reportes de cumplimiento a instrucciones que fue entregado semanalmente, respecto del total de semanas hábiles en el año.</v>
      </c>
      <c r="B168" s="90"/>
      <c r="C168" s="90"/>
      <c r="D168" s="90"/>
      <c r="E168" s="90"/>
      <c r="F168" s="90"/>
      <c r="G168" s="90"/>
    </row>
    <row r="169" spans="1:7" ht="69" customHeight="1">
      <c r="A169" s="49" t="s">
        <v>193</v>
      </c>
      <c r="B169" s="94" t="s">
        <v>1234</v>
      </c>
      <c r="C169" s="94"/>
      <c r="D169" s="94"/>
      <c r="E169" s="94"/>
      <c r="F169" s="94"/>
      <c r="G169" s="94"/>
    </row>
    <row r="170" spans="1:7" ht="31.5" customHeight="1">
      <c r="A170" s="49" t="s">
        <v>6</v>
      </c>
      <c r="B170" s="94" t="s">
        <v>1235</v>
      </c>
      <c r="C170" s="94"/>
      <c r="D170" s="94"/>
      <c r="E170" s="94"/>
      <c r="F170" s="94"/>
      <c r="G170" s="94"/>
    </row>
    <row r="171" spans="1:7" ht="15.75">
      <c r="A171" s="49" t="s">
        <v>195</v>
      </c>
      <c r="B171" s="95"/>
      <c r="C171" s="95"/>
      <c r="D171" s="95"/>
      <c r="E171" s="95"/>
      <c r="F171" s="95"/>
      <c r="G171" s="95"/>
    </row>
    <row r="172" spans="1:7" ht="15.75">
      <c r="A172" s="90" t="str">
        <f>A97</f>
        <v>Porcentaje de emisiones del reporte de resoluciones y discusiones públicas entregados en tiempo respecto del total de emisiones del reporte</v>
      </c>
      <c r="B172" s="90"/>
      <c r="C172" s="90"/>
      <c r="D172" s="90"/>
      <c r="E172" s="90"/>
      <c r="F172" s="90"/>
      <c r="G172" s="90"/>
    </row>
    <row r="173" spans="1:7" ht="70.5" customHeight="1">
      <c r="A173" s="49" t="s">
        <v>193</v>
      </c>
      <c r="B173" s="94" t="s">
        <v>1236</v>
      </c>
      <c r="C173" s="94"/>
      <c r="D173" s="94"/>
      <c r="E173" s="94"/>
      <c r="F173" s="94"/>
      <c r="G173" s="94"/>
    </row>
    <row r="174" spans="1:7" ht="31.5" customHeight="1">
      <c r="A174" s="49" t="s">
        <v>6</v>
      </c>
      <c r="B174" s="94" t="s">
        <v>1237</v>
      </c>
      <c r="C174" s="94"/>
      <c r="D174" s="94"/>
      <c r="E174" s="94"/>
      <c r="F174" s="94"/>
      <c r="G174" s="94"/>
    </row>
    <row r="175" spans="1:7" ht="15.75">
      <c r="A175" s="49" t="s">
        <v>195</v>
      </c>
      <c r="B175" s="95"/>
      <c r="C175" s="95"/>
      <c r="D175" s="95"/>
      <c r="E175" s="95"/>
      <c r="F175" s="95"/>
      <c r="G175" s="95"/>
    </row>
    <row r="176" spans="1:7" ht="15.75">
      <c r="A176" s="90" t="str">
        <f>A101</f>
        <v>Porcentaje de emisiones del reporte del estado que guardan los medios de impugnación entregados en tiempo respecto del total de emisiones del reporte</v>
      </c>
      <c r="B176" s="90"/>
      <c r="C176" s="90"/>
      <c r="D176" s="90"/>
      <c r="E176" s="90"/>
      <c r="F176" s="90"/>
      <c r="G176" s="90"/>
    </row>
    <row r="177" spans="1:7" ht="66" customHeight="1">
      <c r="A177" s="49" t="s">
        <v>193</v>
      </c>
      <c r="B177" s="94" t="s">
        <v>1238</v>
      </c>
      <c r="C177" s="94"/>
      <c r="D177" s="94"/>
      <c r="E177" s="94"/>
      <c r="F177" s="94"/>
      <c r="G177" s="94"/>
    </row>
    <row r="178" spans="1:7" ht="31.5" customHeight="1">
      <c r="A178" s="49" t="s">
        <v>6</v>
      </c>
      <c r="B178" s="94" t="s">
        <v>1239</v>
      </c>
      <c r="C178" s="94"/>
      <c r="D178" s="94"/>
      <c r="E178" s="94"/>
      <c r="F178" s="94"/>
      <c r="G178" s="94"/>
    </row>
    <row r="179" spans="1:7" ht="15.75">
      <c r="A179" s="49" t="s">
        <v>195</v>
      </c>
      <c r="B179" s="95"/>
      <c r="C179" s="95"/>
      <c r="D179" s="95"/>
      <c r="E179" s="95"/>
      <c r="F179" s="95"/>
      <c r="G179" s="95"/>
    </row>
    <row r="180" spans="1:7" ht="15.75">
      <c r="A180" s="90" t="str">
        <f>A105</f>
        <v>Porcentaje de emisiones del reporte de resoluciones en materia de la LFPDPPP que fueron generados, como porcentaje de las sesiones del Pleno para resolver los asuntos en materia de la LFPDPPP</v>
      </c>
      <c r="B180" s="90"/>
      <c r="C180" s="90"/>
      <c r="D180" s="90"/>
      <c r="E180" s="90"/>
      <c r="F180" s="90"/>
      <c r="G180" s="90"/>
    </row>
    <row r="181" spans="1:7" ht="31.5" customHeight="1">
      <c r="A181" s="49" t="s">
        <v>193</v>
      </c>
      <c r="B181" s="94" t="s">
        <v>1240</v>
      </c>
      <c r="C181" s="94"/>
      <c r="D181" s="94"/>
      <c r="E181" s="94"/>
      <c r="F181" s="94"/>
      <c r="G181" s="94"/>
    </row>
    <row r="182" spans="1:7" ht="15.75">
      <c r="A182" s="49" t="s">
        <v>6</v>
      </c>
      <c r="B182" s="94" t="s">
        <v>1241</v>
      </c>
      <c r="C182" s="94"/>
      <c r="D182" s="94"/>
      <c r="E182" s="94"/>
      <c r="F182" s="94"/>
      <c r="G182" s="94"/>
    </row>
    <row r="183" spans="1:7" ht="15.75">
      <c r="A183" s="49" t="s">
        <v>195</v>
      </c>
      <c r="B183" s="95"/>
      <c r="C183" s="95"/>
      <c r="D183" s="95"/>
      <c r="E183" s="95"/>
      <c r="F183" s="95"/>
      <c r="G183" s="95"/>
    </row>
    <row r="184" spans="1:7" ht="15.75">
      <c r="A184" s="90" t="str">
        <f>A109</f>
        <v>Porcentaje de documentos elaborados en un día hábil, respecto del total de documentos solicitados.</v>
      </c>
      <c r="B184" s="90"/>
      <c r="C184" s="90"/>
      <c r="D184" s="90"/>
      <c r="E184" s="90"/>
      <c r="F184" s="90"/>
      <c r="G184" s="90"/>
    </row>
    <row r="185" spans="1:7" ht="40.5" customHeight="1">
      <c r="A185" s="49" t="s">
        <v>193</v>
      </c>
      <c r="B185" s="94" t="s">
        <v>1242</v>
      </c>
      <c r="C185" s="94"/>
      <c r="D185" s="94"/>
      <c r="E185" s="94"/>
      <c r="F185" s="94"/>
      <c r="G185" s="94"/>
    </row>
    <row r="186" spans="1:7" ht="15.75">
      <c r="A186" s="49" t="s">
        <v>6</v>
      </c>
      <c r="B186" s="94" t="s">
        <v>1243</v>
      </c>
      <c r="C186" s="94"/>
      <c r="D186" s="94"/>
      <c r="E186" s="94"/>
      <c r="F186" s="94"/>
      <c r="G186" s="94"/>
    </row>
    <row r="187" spans="1:7" ht="15.75">
      <c r="A187" s="49" t="s">
        <v>195</v>
      </c>
      <c r="B187" s="95"/>
      <c r="C187" s="95"/>
      <c r="D187" s="95"/>
      <c r="E187" s="95"/>
      <c r="F187" s="95"/>
      <c r="G187" s="95"/>
    </row>
    <row r="188" spans="1:7" ht="15.75">
      <c r="A188" s="146"/>
      <c r="B188" s="146"/>
      <c r="C188" s="146"/>
      <c r="D188" s="146"/>
      <c r="E188" s="146"/>
      <c r="F188" s="146"/>
      <c r="G188" s="146"/>
    </row>
    <row r="189" spans="1:7" ht="15.75">
      <c r="A189" s="96" t="s">
        <v>226</v>
      </c>
      <c r="B189" s="96"/>
      <c r="C189" s="96"/>
      <c r="D189" s="96"/>
      <c r="E189" s="96"/>
      <c r="F189" s="96"/>
      <c r="G189" s="96"/>
    </row>
    <row r="190" spans="1:7" ht="15.75">
      <c r="A190" s="146"/>
      <c r="B190" s="146"/>
      <c r="C190" s="146"/>
      <c r="D190" s="146"/>
      <c r="E190" s="146"/>
      <c r="F190" s="146"/>
      <c r="G190" s="146"/>
    </row>
    <row r="191" spans="1:7" ht="31.5" customHeight="1">
      <c r="A191" s="93" t="s">
        <v>229</v>
      </c>
      <c r="B191" s="93"/>
      <c r="C191" s="93"/>
      <c r="D191" s="93"/>
      <c r="E191" s="93"/>
      <c r="F191" s="93"/>
      <c r="G191" s="93"/>
    </row>
  </sheetData>
  <sheetProtection/>
  <mergeCells count="316">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90:G190"/>
    <mergeCell ref="A191:G191"/>
    <mergeCell ref="A184:G184"/>
    <mergeCell ref="B185:G185"/>
    <mergeCell ref="B186:G186"/>
    <mergeCell ref="B187:G187"/>
    <mergeCell ref="A188:G188"/>
    <mergeCell ref="A189:G189"/>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5" manualBreakCount="5">
    <brk id="44" max="255" man="1"/>
    <brk id="86" max="255" man="1"/>
    <brk id="123" max="255" man="1"/>
    <brk id="163" max="255" man="1"/>
    <brk id="183" max="255" man="1"/>
  </rowBreaks>
</worksheet>
</file>

<file path=xl/worksheets/sheet13.xml><?xml version="1.0" encoding="utf-8"?>
<worksheet xmlns="http://schemas.openxmlformats.org/spreadsheetml/2006/main" xmlns:r="http://schemas.openxmlformats.org/officeDocument/2006/relationships">
  <dimension ref="A1:G95"/>
  <sheetViews>
    <sheetView showGridLines="0" tabSelected="1" view="pageBreakPreview" zoomScale="70" zoomScaleSheetLayoutView="70" zoomScalePageLayoutView="0" workbookViewId="0" topLeftCell="A52">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64"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968</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1244</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40"/>
      <c r="B15" s="182" t="s">
        <v>1152</v>
      </c>
      <c r="C15" s="182"/>
      <c r="D15" s="182"/>
      <c r="E15" s="182"/>
      <c r="F15" s="182"/>
      <c r="G15" s="183"/>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99</v>
      </c>
    </row>
    <row r="30" spans="1:7" ht="15.75">
      <c r="A30" s="105"/>
      <c r="B30" s="105"/>
      <c r="C30" s="105"/>
      <c r="D30" s="105"/>
      <c r="E30" s="105"/>
      <c r="F30" s="45" t="s">
        <v>124</v>
      </c>
      <c r="G30" s="46">
        <v>99</v>
      </c>
    </row>
    <row r="31" spans="1:7" ht="64.5" customHeight="1">
      <c r="A31" s="100" t="s">
        <v>1245</v>
      </c>
      <c r="B31" s="100" t="s">
        <v>1246</v>
      </c>
      <c r="C31" s="100" t="s">
        <v>1247</v>
      </c>
      <c r="D31" s="102" t="s">
        <v>5</v>
      </c>
      <c r="E31" s="102" t="s">
        <v>129</v>
      </c>
      <c r="F31" s="45" t="s">
        <v>130</v>
      </c>
      <c r="G31" s="47">
        <f>3494/3518*100</f>
        <v>99.3177942012507</v>
      </c>
    </row>
    <row r="32" spans="1:7" ht="64.5" customHeight="1">
      <c r="A32" s="101"/>
      <c r="B32" s="101"/>
      <c r="C32" s="101"/>
      <c r="D32" s="103"/>
      <c r="E32" s="103"/>
      <c r="F32" s="45" t="s">
        <v>131</v>
      </c>
      <c r="G32" s="47">
        <f>(G31/G30)*100</f>
        <v>100.32100424368757</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1.5</v>
      </c>
    </row>
    <row r="36" spans="1:7" ht="15.75">
      <c r="A36" s="105"/>
      <c r="B36" s="105"/>
      <c r="C36" s="105"/>
      <c r="D36" s="105"/>
      <c r="E36" s="105"/>
      <c r="F36" s="45" t="s">
        <v>124</v>
      </c>
      <c r="G36" s="46">
        <v>1.5</v>
      </c>
    </row>
    <row r="37" spans="1:7" ht="72" customHeight="1">
      <c r="A37" s="100" t="s">
        <v>1248</v>
      </c>
      <c r="B37" s="100" t="s">
        <v>1249</v>
      </c>
      <c r="C37" s="100" t="s">
        <v>1250</v>
      </c>
      <c r="D37" s="102" t="s">
        <v>5</v>
      </c>
      <c r="E37" s="102" t="s">
        <v>129</v>
      </c>
      <c r="F37" s="45" t="s">
        <v>130</v>
      </c>
      <c r="G37" s="47">
        <f>24/3518*100</f>
        <v>0.6822057987492893</v>
      </c>
    </row>
    <row r="38" spans="1:7" ht="72" customHeight="1">
      <c r="A38" s="101"/>
      <c r="B38" s="101"/>
      <c r="C38" s="101"/>
      <c r="D38" s="103"/>
      <c r="E38" s="103"/>
      <c r="F38" s="45" t="s">
        <v>131</v>
      </c>
      <c r="G38" s="47">
        <v>154.51961341671404</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90</v>
      </c>
    </row>
    <row r="42" spans="1:7" ht="15.75">
      <c r="A42" s="105"/>
      <c r="B42" s="105"/>
      <c r="C42" s="105"/>
      <c r="D42" s="105"/>
      <c r="E42" s="105"/>
      <c r="F42" s="45" t="s">
        <v>124</v>
      </c>
      <c r="G42" s="46">
        <v>90</v>
      </c>
    </row>
    <row r="43" spans="1:7" ht="147" customHeight="1">
      <c r="A43" s="100" t="s">
        <v>1251</v>
      </c>
      <c r="B43" s="100" t="s">
        <v>1252</v>
      </c>
      <c r="C43" s="100" t="s">
        <v>1253</v>
      </c>
      <c r="D43" s="102" t="s">
        <v>5</v>
      </c>
      <c r="E43" s="102" t="s">
        <v>298</v>
      </c>
      <c r="F43" s="45" t="s">
        <v>130</v>
      </c>
      <c r="G43" s="47">
        <f>GEOMEAN(99.32,100,100,100)</f>
        <v>99.82956477236989</v>
      </c>
    </row>
    <row r="44" spans="1:7" ht="147" customHeight="1">
      <c r="A44" s="101"/>
      <c r="B44" s="101"/>
      <c r="C44" s="101"/>
      <c r="D44" s="103"/>
      <c r="E44" s="103"/>
      <c r="F44" s="45" t="s">
        <v>131</v>
      </c>
      <c r="G44" s="47">
        <f>(G43/G42)*100</f>
        <v>110.92173863596655</v>
      </c>
    </row>
    <row r="45" spans="1:7" ht="15.75">
      <c r="A45" s="96" t="s">
        <v>303</v>
      </c>
      <c r="B45" s="96"/>
      <c r="C45" s="96"/>
      <c r="D45" s="96"/>
      <c r="E45" s="96"/>
      <c r="F45" s="96"/>
      <c r="G45" s="96"/>
    </row>
    <row r="46" spans="1:7" ht="15.75">
      <c r="A46" s="106" t="s">
        <v>117</v>
      </c>
      <c r="B46" s="106"/>
      <c r="C46" s="106"/>
      <c r="D46" s="106"/>
      <c r="E46" s="106"/>
      <c r="F46" s="106" t="s">
        <v>118</v>
      </c>
      <c r="G46" s="106"/>
    </row>
    <row r="47" spans="1:7" ht="15.75" customHeight="1">
      <c r="A47" s="104" t="s">
        <v>119</v>
      </c>
      <c r="B47" s="104" t="s">
        <v>120</v>
      </c>
      <c r="C47" s="104" t="s">
        <v>65</v>
      </c>
      <c r="D47" s="104" t="s">
        <v>121</v>
      </c>
      <c r="E47" s="104" t="s">
        <v>122</v>
      </c>
      <c r="F47" s="45" t="s">
        <v>123</v>
      </c>
      <c r="G47" s="46">
        <v>99</v>
      </c>
    </row>
    <row r="48" spans="1:7" ht="15.75">
      <c r="A48" s="105"/>
      <c r="B48" s="105"/>
      <c r="C48" s="105"/>
      <c r="D48" s="105"/>
      <c r="E48" s="105"/>
      <c r="F48" s="45" t="s">
        <v>124</v>
      </c>
      <c r="G48" s="46">
        <v>99</v>
      </c>
    </row>
    <row r="49" spans="1:7" ht="48" customHeight="1">
      <c r="A49" s="100" t="s">
        <v>1254</v>
      </c>
      <c r="B49" s="100" t="s">
        <v>1255</v>
      </c>
      <c r="C49" s="100" t="s">
        <v>1256</v>
      </c>
      <c r="D49" s="102" t="s">
        <v>5</v>
      </c>
      <c r="E49" s="102" t="s">
        <v>142</v>
      </c>
      <c r="F49" s="45" t="s">
        <v>130</v>
      </c>
      <c r="G49" s="47">
        <f>3494/3518*100</f>
        <v>99.3177942012507</v>
      </c>
    </row>
    <row r="50" spans="1:7" ht="48" customHeight="1">
      <c r="A50" s="101"/>
      <c r="B50" s="101"/>
      <c r="C50" s="101"/>
      <c r="D50" s="103"/>
      <c r="E50" s="103"/>
      <c r="F50" s="45" t="s">
        <v>131</v>
      </c>
      <c r="G50" s="47">
        <f>(G49/G48)*100</f>
        <v>100.32100424368757</v>
      </c>
    </row>
    <row r="51" spans="1:7" ht="15.75" customHeight="1">
      <c r="A51" s="104" t="s">
        <v>119</v>
      </c>
      <c r="B51" s="104" t="s">
        <v>120</v>
      </c>
      <c r="C51" s="104" t="s">
        <v>65</v>
      </c>
      <c r="D51" s="104" t="s">
        <v>121</v>
      </c>
      <c r="E51" s="104" t="s">
        <v>122</v>
      </c>
      <c r="F51" s="45" t="s">
        <v>123</v>
      </c>
      <c r="G51" s="46">
        <v>90</v>
      </c>
    </row>
    <row r="52" spans="1:7" ht="15.75">
      <c r="A52" s="105"/>
      <c r="B52" s="105"/>
      <c r="C52" s="105"/>
      <c r="D52" s="105"/>
      <c r="E52" s="105"/>
      <c r="F52" s="45" t="s">
        <v>124</v>
      </c>
      <c r="G52" s="46">
        <v>90</v>
      </c>
    </row>
    <row r="53" spans="1:7" ht="60" customHeight="1">
      <c r="A53" s="100" t="s">
        <v>1257</v>
      </c>
      <c r="B53" s="100" t="s">
        <v>1258</v>
      </c>
      <c r="C53" s="100" t="s">
        <v>1259</v>
      </c>
      <c r="D53" s="102" t="s">
        <v>5</v>
      </c>
      <c r="E53" s="102" t="s">
        <v>142</v>
      </c>
      <c r="F53" s="45" t="s">
        <v>130</v>
      </c>
      <c r="G53" s="47">
        <f>62/62*100</f>
        <v>100</v>
      </c>
    </row>
    <row r="54" spans="1:7" ht="60" customHeight="1">
      <c r="A54" s="101"/>
      <c r="B54" s="101"/>
      <c r="C54" s="101"/>
      <c r="D54" s="103"/>
      <c r="E54" s="103"/>
      <c r="F54" s="45" t="s">
        <v>131</v>
      </c>
      <c r="G54" s="47">
        <f>(G53/G52)*100</f>
        <v>111.11111111111111</v>
      </c>
    </row>
    <row r="55" spans="1:7" ht="15.75" customHeight="1">
      <c r="A55" s="104" t="s">
        <v>119</v>
      </c>
      <c r="B55" s="104" t="s">
        <v>120</v>
      </c>
      <c r="C55" s="104" t="s">
        <v>65</v>
      </c>
      <c r="D55" s="104" t="s">
        <v>121</v>
      </c>
      <c r="E55" s="104" t="s">
        <v>122</v>
      </c>
      <c r="F55" s="45" t="s">
        <v>123</v>
      </c>
      <c r="G55" s="46">
        <v>90</v>
      </c>
    </row>
    <row r="56" spans="1:7" ht="15.75">
      <c r="A56" s="105"/>
      <c r="B56" s="105"/>
      <c r="C56" s="105"/>
      <c r="D56" s="105"/>
      <c r="E56" s="105"/>
      <c r="F56" s="45" t="s">
        <v>124</v>
      </c>
      <c r="G56" s="46">
        <v>90</v>
      </c>
    </row>
    <row r="57" spans="1:7" ht="60" customHeight="1">
      <c r="A57" s="100" t="s">
        <v>1260</v>
      </c>
      <c r="B57" s="100" t="s">
        <v>1261</v>
      </c>
      <c r="C57" s="100" t="s">
        <v>1262</v>
      </c>
      <c r="D57" s="102" t="s">
        <v>5</v>
      </c>
      <c r="E57" s="102" t="s">
        <v>142</v>
      </c>
      <c r="F57" s="45" t="s">
        <v>130</v>
      </c>
      <c r="G57" s="47">
        <f>4/4*100</f>
        <v>100</v>
      </c>
    </row>
    <row r="58" spans="1:7" ht="60" customHeight="1">
      <c r="A58" s="101"/>
      <c r="B58" s="101"/>
      <c r="C58" s="101"/>
      <c r="D58" s="103"/>
      <c r="E58" s="103"/>
      <c r="F58" s="45" t="s">
        <v>131</v>
      </c>
      <c r="G58" s="47">
        <f>(G57/G56)*100</f>
        <v>111.11111111111111</v>
      </c>
    </row>
    <row r="59" spans="1:7" ht="15.75" customHeight="1">
      <c r="A59" s="104" t="s">
        <v>119</v>
      </c>
      <c r="B59" s="104" t="s">
        <v>120</v>
      </c>
      <c r="C59" s="104" t="s">
        <v>65</v>
      </c>
      <c r="D59" s="104" t="s">
        <v>121</v>
      </c>
      <c r="E59" s="104" t="s">
        <v>122</v>
      </c>
      <c r="F59" s="45" t="s">
        <v>123</v>
      </c>
      <c r="G59" s="46">
        <v>90</v>
      </c>
    </row>
    <row r="60" spans="1:7" ht="15.75">
      <c r="A60" s="105"/>
      <c r="B60" s="105"/>
      <c r="C60" s="105"/>
      <c r="D60" s="105"/>
      <c r="E60" s="105"/>
      <c r="F60" s="45" t="s">
        <v>124</v>
      </c>
      <c r="G60" s="46">
        <v>90</v>
      </c>
    </row>
    <row r="61" spans="1:7" s="54" customFormat="1" ht="40.5" customHeight="1">
      <c r="A61" s="100" t="s">
        <v>1263</v>
      </c>
      <c r="B61" s="100" t="s">
        <v>1264</v>
      </c>
      <c r="C61" s="100" t="s">
        <v>1265</v>
      </c>
      <c r="D61" s="102" t="s">
        <v>5</v>
      </c>
      <c r="E61" s="102" t="s">
        <v>142</v>
      </c>
      <c r="F61" s="45" t="s">
        <v>130</v>
      </c>
      <c r="G61" s="47">
        <f>6/6*100</f>
        <v>100</v>
      </c>
    </row>
    <row r="62" spans="1:7" ht="40.5" customHeight="1">
      <c r="A62" s="101"/>
      <c r="B62" s="101"/>
      <c r="C62" s="101"/>
      <c r="D62" s="103"/>
      <c r="E62" s="103"/>
      <c r="F62" s="45" t="s">
        <v>131</v>
      </c>
      <c r="G62" s="47">
        <f>(G61/G60)*100</f>
        <v>111.11111111111111</v>
      </c>
    </row>
    <row r="63" spans="1:7" ht="15.75">
      <c r="A63" s="96" t="s">
        <v>192</v>
      </c>
      <c r="B63" s="96"/>
      <c r="C63" s="96"/>
      <c r="D63" s="96"/>
      <c r="E63" s="96"/>
      <c r="F63" s="96"/>
      <c r="G63" s="96"/>
    </row>
    <row r="64" spans="1:7" ht="31.5" customHeight="1">
      <c r="A64" s="99" t="str">
        <f>+A31</f>
        <v>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dio seguimiento.</v>
      </c>
      <c r="B64" s="99"/>
      <c r="C64" s="99"/>
      <c r="D64" s="99"/>
      <c r="E64" s="99"/>
      <c r="F64" s="99"/>
      <c r="G64" s="99"/>
    </row>
    <row r="65" spans="1:7" s="54" customFormat="1" ht="15.75">
      <c r="A65" s="48" t="s">
        <v>193</v>
      </c>
      <c r="B65" s="94" t="s">
        <v>1266</v>
      </c>
      <c r="C65" s="94"/>
      <c r="D65" s="94"/>
      <c r="E65" s="94"/>
      <c r="F65" s="94"/>
      <c r="G65" s="94"/>
    </row>
    <row r="66" spans="1:7" ht="31.5" customHeight="1">
      <c r="A66" s="49" t="s">
        <v>6</v>
      </c>
      <c r="B66" s="94" t="s">
        <v>1267</v>
      </c>
      <c r="C66" s="94"/>
      <c r="D66" s="94"/>
      <c r="E66" s="94"/>
      <c r="F66" s="94"/>
      <c r="G66" s="94"/>
    </row>
    <row r="67" spans="1:7" ht="15.75">
      <c r="A67" s="49" t="s">
        <v>195</v>
      </c>
      <c r="B67" s="95" t="s">
        <v>259</v>
      </c>
      <c r="C67" s="95"/>
      <c r="D67" s="95"/>
      <c r="E67" s="95"/>
      <c r="F67" s="95"/>
      <c r="G67" s="95"/>
    </row>
    <row r="68" spans="1:7" ht="31.5" customHeight="1">
      <c r="A68" s="90" t="str">
        <f>+A37</f>
        <v>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v>
      </c>
      <c r="B68" s="90"/>
      <c r="C68" s="90"/>
      <c r="D68" s="90"/>
      <c r="E68" s="90"/>
      <c r="F68" s="90"/>
      <c r="G68" s="90"/>
    </row>
    <row r="69" spans="1:7" s="54" customFormat="1" ht="31.5" customHeight="1">
      <c r="A69" s="49" t="s">
        <v>193</v>
      </c>
      <c r="B69" s="94" t="s">
        <v>1268</v>
      </c>
      <c r="C69" s="94"/>
      <c r="D69" s="94"/>
      <c r="E69" s="94"/>
      <c r="F69" s="94"/>
      <c r="G69" s="94"/>
    </row>
    <row r="70" spans="1:7" ht="31.5" customHeight="1">
      <c r="A70" s="49" t="s">
        <v>6</v>
      </c>
      <c r="B70" s="94" t="s">
        <v>1269</v>
      </c>
      <c r="C70" s="94"/>
      <c r="D70" s="94"/>
      <c r="E70" s="94"/>
      <c r="F70" s="94"/>
      <c r="G70" s="94"/>
    </row>
    <row r="71" spans="1:7" ht="15.75">
      <c r="A71" s="49" t="s">
        <v>195</v>
      </c>
      <c r="B71" s="95" t="s">
        <v>259</v>
      </c>
      <c r="C71" s="95"/>
      <c r="D71" s="95"/>
      <c r="E71" s="95"/>
      <c r="F71" s="95"/>
      <c r="G71" s="95"/>
    </row>
    <row r="72" spans="1:7" ht="31.5" customHeight="1">
      <c r="A72" s="90" t="str">
        <f>+A43</f>
        <v>Media geométrica de las acciones que se realizan ante el incumplimiento de las resoluciones emitidas por el Pleno del Instituto, en los medios de impugnación en materia de acceso a la información pública y protección de datos personales en posesión de sujetos obligados.</v>
      </c>
      <c r="B72" s="90"/>
      <c r="C72" s="90"/>
      <c r="D72" s="90"/>
      <c r="E72" s="90"/>
      <c r="F72" s="90"/>
      <c r="G72" s="90"/>
    </row>
    <row r="73" spans="1:7" s="54" customFormat="1" ht="31.5" customHeight="1">
      <c r="A73" s="48" t="s">
        <v>193</v>
      </c>
      <c r="B73" s="94" t="s">
        <v>1270</v>
      </c>
      <c r="C73" s="94"/>
      <c r="D73" s="94"/>
      <c r="E73" s="94"/>
      <c r="F73" s="94"/>
      <c r="G73" s="94"/>
    </row>
    <row r="74" spans="1:7" ht="31.5" customHeight="1">
      <c r="A74" s="49" t="s">
        <v>6</v>
      </c>
      <c r="B74" s="94" t="s">
        <v>1267</v>
      </c>
      <c r="C74" s="94"/>
      <c r="D74" s="94"/>
      <c r="E74" s="94"/>
      <c r="F74" s="94"/>
      <c r="G74" s="94"/>
    </row>
    <row r="75" spans="1:7" ht="15.75">
      <c r="A75" s="49" t="s">
        <v>195</v>
      </c>
      <c r="B75" s="95" t="s">
        <v>259</v>
      </c>
      <c r="C75" s="95"/>
      <c r="D75" s="95"/>
      <c r="E75" s="95"/>
      <c r="F75" s="95"/>
      <c r="G75" s="95"/>
    </row>
    <row r="76" spans="1:7" ht="31.5" customHeight="1">
      <c r="A76" s="90" t="str">
        <f>+A49</f>
        <v>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v>
      </c>
      <c r="B76" s="90"/>
      <c r="C76" s="90"/>
      <c r="D76" s="90"/>
      <c r="E76" s="90"/>
      <c r="F76" s="90"/>
      <c r="G76" s="90"/>
    </row>
    <row r="77" spans="1:7" s="54" customFormat="1" ht="31.5" customHeight="1">
      <c r="A77" s="49" t="s">
        <v>193</v>
      </c>
      <c r="B77" s="94" t="s">
        <v>1268</v>
      </c>
      <c r="C77" s="94"/>
      <c r="D77" s="94"/>
      <c r="E77" s="94"/>
      <c r="F77" s="94"/>
      <c r="G77" s="94"/>
    </row>
    <row r="78" spans="1:7" ht="31.5" customHeight="1">
      <c r="A78" s="49" t="s">
        <v>6</v>
      </c>
      <c r="B78" s="94" t="s">
        <v>1269</v>
      </c>
      <c r="C78" s="94"/>
      <c r="D78" s="94"/>
      <c r="E78" s="94"/>
      <c r="F78" s="94"/>
      <c r="G78" s="94"/>
    </row>
    <row r="79" spans="1:7" ht="15.75">
      <c r="A79" s="49" t="s">
        <v>195</v>
      </c>
      <c r="B79" s="95" t="s">
        <v>259</v>
      </c>
      <c r="C79" s="95"/>
      <c r="D79" s="95"/>
      <c r="E79" s="95"/>
      <c r="F79" s="95"/>
      <c r="G79" s="95"/>
    </row>
    <row r="80" spans="1:7" ht="31.5" customHeight="1">
      <c r="A80" s="90" t="str">
        <f>+A53</f>
        <v>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v>
      </c>
      <c r="B80" s="90"/>
      <c r="C80" s="90"/>
      <c r="D80" s="90"/>
      <c r="E80" s="90"/>
      <c r="F80" s="90"/>
      <c r="G80" s="90"/>
    </row>
    <row r="81" spans="1:7" s="54" customFormat="1" ht="31.5" customHeight="1">
      <c r="A81" s="49" t="s">
        <v>193</v>
      </c>
      <c r="B81" s="94" t="s">
        <v>1271</v>
      </c>
      <c r="C81" s="94"/>
      <c r="D81" s="94"/>
      <c r="E81" s="94"/>
      <c r="F81" s="94"/>
      <c r="G81" s="94"/>
    </row>
    <row r="82" spans="1:7" ht="42.75" customHeight="1">
      <c r="A82" s="49" t="s">
        <v>6</v>
      </c>
      <c r="B82" s="94" t="s">
        <v>1272</v>
      </c>
      <c r="C82" s="94"/>
      <c r="D82" s="94"/>
      <c r="E82" s="94"/>
      <c r="F82" s="94"/>
      <c r="G82" s="94"/>
    </row>
    <row r="83" spans="1:7" ht="15.75">
      <c r="A83" s="49" t="s">
        <v>195</v>
      </c>
      <c r="B83" s="95" t="s">
        <v>259</v>
      </c>
      <c r="C83" s="95"/>
      <c r="D83" s="95"/>
      <c r="E83" s="95"/>
      <c r="F83" s="95"/>
      <c r="G83" s="95"/>
    </row>
    <row r="84" spans="1:7" ht="31.5" customHeight="1">
      <c r="A84" s="90" t="str">
        <f>+A57</f>
        <v>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v>
      </c>
      <c r="B84" s="90"/>
      <c r="C84" s="90"/>
      <c r="D84" s="90"/>
      <c r="E84" s="90"/>
      <c r="F84" s="90"/>
      <c r="G84" s="90"/>
    </row>
    <row r="85" spans="1:7" s="54" customFormat="1" ht="15.75">
      <c r="A85" s="49" t="s">
        <v>193</v>
      </c>
      <c r="B85" s="94" t="s">
        <v>1273</v>
      </c>
      <c r="C85" s="94"/>
      <c r="D85" s="94"/>
      <c r="E85" s="94"/>
      <c r="F85" s="94"/>
      <c r="G85" s="94"/>
    </row>
    <row r="86" spans="1:7" ht="45" customHeight="1">
      <c r="A86" s="49" t="s">
        <v>6</v>
      </c>
      <c r="B86" s="94" t="s">
        <v>1274</v>
      </c>
      <c r="C86" s="94"/>
      <c r="D86" s="94"/>
      <c r="E86" s="94"/>
      <c r="F86" s="94"/>
      <c r="G86" s="94"/>
    </row>
    <row r="87" spans="1:7" ht="15.75">
      <c r="A87" s="49" t="s">
        <v>195</v>
      </c>
      <c r="B87" s="95" t="s">
        <v>259</v>
      </c>
      <c r="C87" s="95"/>
      <c r="D87" s="95"/>
      <c r="E87" s="95"/>
      <c r="F87" s="95"/>
      <c r="G87" s="95"/>
    </row>
    <row r="88" spans="1:7" ht="15.75">
      <c r="A88" s="90" t="str">
        <f>+A61</f>
        <v>Porcentaje de proyectos de resolución elaborados, correspondientes a procedimientos sancionatorios, respecto del total de procedimientos en los que se decretó el cierre de instrucción y se pasó el expediente a resolución.</v>
      </c>
      <c r="B88" s="90"/>
      <c r="C88" s="90"/>
      <c r="D88" s="90"/>
      <c r="E88" s="90"/>
      <c r="F88" s="90"/>
      <c r="G88" s="90"/>
    </row>
    <row r="89" spans="1:7" ht="31.5" customHeight="1">
      <c r="A89" s="49" t="s">
        <v>193</v>
      </c>
      <c r="B89" s="94" t="s">
        <v>1275</v>
      </c>
      <c r="C89" s="94"/>
      <c r="D89" s="94"/>
      <c r="E89" s="94"/>
      <c r="F89" s="94"/>
      <c r="G89" s="94"/>
    </row>
    <row r="90" spans="1:7" ht="31.5" customHeight="1">
      <c r="A90" s="49" t="s">
        <v>6</v>
      </c>
      <c r="B90" s="94" t="s">
        <v>1276</v>
      </c>
      <c r="C90" s="94"/>
      <c r="D90" s="94"/>
      <c r="E90" s="94"/>
      <c r="F90" s="94"/>
      <c r="G90" s="94"/>
    </row>
    <row r="91" spans="1:7" ht="15.75">
      <c r="A91" s="49" t="s">
        <v>195</v>
      </c>
      <c r="B91" s="95" t="s">
        <v>259</v>
      </c>
      <c r="C91" s="95"/>
      <c r="D91" s="95"/>
      <c r="E91" s="95"/>
      <c r="F91" s="95"/>
      <c r="G91" s="95"/>
    </row>
    <row r="92" spans="1:7" ht="15.75">
      <c r="A92" s="146"/>
      <c r="B92" s="146"/>
      <c r="C92" s="146"/>
      <c r="D92" s="146"/>
      <c r="E92" s="146"/>
      <c r="F92" s="146"/>
      <c r="G92" s="146"/>
    </row>
    <row r="93" spans="1:7" ht="15.75">
      <c r="A93" s="96" t="s">
        <v>226</v>
      </c>
      <c r="B93" s="96"/>
      <c r="C93" s="96"/>
      <c r="D93" s="96"/>
      <c r="E93" s="96"/>
      <c r="F93" s="96"/>
      <c r="G93" s="96"/>
    </row>
    <row r="94" spans="1:7" ht="15.75">
      <c r="A94" s="146"/>
      <c r="B94" s="146"/>
      <c r="C94" s="146"/>
      <c r="D94" s="146"/>
      <c r="E94" s="146"/>
      <c r="F94" s="146"/>
      <c r="G94" s="146"/>
    </row>
    <row r="95" spans="1:7" ht="31.5" customHeight="1">
      <c r="A95" s="93" t="s">
        <v>229</v>
      </c>
      <c r="B95" s="93"/>
      <c r="C95" s="93"/>
      <c r="D95" s="93"/>
      <c r="E95" s="93"/>
      <c r="F95" s="93"/>
      <c r="G95" s="93"/>
    </row>
  </sheetData>
  <sheetProtection/>
  <mergeCells count="148">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B65:G65"/>
    <mergeCell ref="B66:G66"/>
    <mergeCell ref="B67:G67"/>
    <mergeCell ref="A68:G68"/>
    <mergeCell ref="B69:G69"/>
    <mergeCell ref="B70:G70"/>
    <mergeCell ref="B71:G71"/>
    <mergeCell ref="A72:G72"/>
    <mergeCell ref="B73:G73"/>
    <mergeCell ref="B74:G74"/>
    <mergeCell ref="B75:G75"/>
    <mergeCell ref="A76:G76"/>
    <mergeCell ref="B77:G77"/>
    <mergeCell ref="B78:G78"/>
    <mergeCell ref="B79:G79"/>
    <mergeCell ref="A80:G80"/>
    <mergeCell ref="B81:G81"/>
    <mergeCell ref="B82:G82"/>
    <mergeCell ref="B83:G83"/>
    <mergeCell ref="A84:G84"/>
    <mergeCell ref="B85:G85"/>
    <mergeCell ref="B86:G86"/>
    <mergeCell ref="B87:G87"/>
    <mergeCell ref="A94:G94"/>
    <mergeCell ref="A95:G95"/>
    <mergeCell ref="A88:G88"/>
    <mergeCell ref="B89:G89"/>
    <mergeCell ref="B90:G90"/>
    <mergeCell ref="B91:G91"/>
    <mergeCell ref="A92:G92"/>
    <mergeCell ref="A93:G93"/>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3" manualBreakCount="3">
    <brk id="38" max="255" man="1"/>
    <brk id="62" max="255" man="1"/>
    <brk id="87" max="255" man="1"/>
  </rowBreaks>
</worksheet>
</file>

<file path=xl/worksheets/sheet14.xml><?xml version="1.0" encoding="utf-8"?>
<worksheet xmlns="http://schemas.openxmlformats.org/spreadsheetml/2006/main" xmlns:r="http://schemas.openxmlformats.org/officeDocument/2006/relationships">
  <sheetPr>
    <tabColor rgb="FF00853F"/>
  </sheetPr>
  <dimension ref="A2:G32"/>
  <sheetViews>
    <sheetView showGridLines="0" tabSelected="1" zoomScalePageLayoutView="0" workbookViewId="0" topLeftCell="A10">
      <selection activeCell="A29" sqref="A29:A30"/>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78" t="s">
        <v>0</v>
      </c>
      <c r="B2" s="79"/>
      <c r="C2" s="82" t="s">
        <v>81</v>
      </c>
      <c r="D2" s="82"/>
      <c r="E2" s="82"/>
    </row>
    <row r="3" spans="1:5" ht="25.5" customHeight="1" thickBot="1">
      <c r="A3" s="80"/>
      <c r="B3" s="81"/>
      <c r="C3" s="83"/>
      <c r="D3" s="83"/>
      <c r="E3" s="83"/>
    </row>
    <row r="4" ht="15.75" thickTop="1"/>
    <row r="8" spans="1:5" ht="27.75" customHeight="1">
      <c r="A8" s="193" t="s">
        <v>18</v>
      </c>
      <c r="B8" s="193"/>
      <c r="C8" s="193"/>
      <c r="D8" s="193"/>
      <c r="E8" s="193"/>
    </row>
    <row r="9" spans="1:5" ht="27.75" customHeight="1">
      <c r="A9" s="193"/>
      <c r="B9" s="193"/>
      <c r="C9" s="193"/>
      <c r="D9" s="193"/>
      <c r="E9" s="193"/>
    </row>
    <row r="10" spans="1:5" ht="15">
      <c r="A10" s="193" t="s">
        <v>8</v>
      </c>
      <c r="B10" s="193"/>
      <c r="C10" s="193"/>
      <c r="D10" s="193"/>
      <c r="E10" s="193"/>
    </row>
    <row r="11" spans="1:5" ht="15">
      <c r="A11" s="193"/>
      <c r="B11" s="193"/>
      <c r="C11" s="193"/>
      <c r="D11" s="193"/>
      <c r="E11" s="193"/>
    </row>
    <row r="12" spans="1:5" ht="15">
      <c r="A12" s="193"/>
      <c r="B12" s="193"/>
      <c r="C12" s="193"/>
      <c r="D12" s="193"/>
      <c r="E12" s="193"/>
    </row>
    <row r="13" spans="1:5" ht="27.75">
      <c r="A13" s="194"/>
      <c r="B13" s="194"/>
      <c r="C13" s="194"/>
      <c r="D13" s="194"/>
      <c r="E13" s="194"/>
    </row>
    <row r="14" spans="1:7" s="2" customFormat="1" ht="19.5">
      <c r="A14"/>
      <c r="B14" s="1" t="s">
        <v>1</v>
      </c>
      <c r="C14" s="1" t="s">
        <v>9</v>
      </c>
      <c r="D14" s="1" t="s">
        <v>10</v>
      </c>
      <c r="G14" s="3"/>
    </row>
    <row r="15" spans="1:7" s="2" customFormat="1" ht="19.5">
      <c r="A15"/>
      <c r="B15" s="1" t="s">
        <v>2</v>
      </c>
      <c r="C15" s="1" t="s">
        <v>2</v>
      </c>
      <c r="D15" s="1" t="s">
        <v>11</v>
      </c>
      <c r="G15" s="3"/>
    </row>
    <row r="16" spans="1:7" s="2" customFormat="1" ht="19.5">
      <c r="A16"/>
      <c r="B16" s="1"/>
      <c r="C16" s="1"/>
      <c r="D16" s="1"/>
      <c r="G16" s="3"/>
    </row>
    <row r="17" spans="1:7" s="2" customFormat="1" ht="21">
      <c r="A17" s="4" t="s">
        <v>3</v>
      </c>
      <c r="B17" s="5">
        <v>185.189071</v>
      </c>
      <c r="C17" s="5">
        <v>142.66509749000002</v>
      </c>
      <c r="D17" s="6">
        <f>(C17)/B17</f>
        <v>0.7703753613516426</v>
      </c>
      <c r="G17" s="3"/>
    </row>
    <row r="18" spans="1:7" s="2" customFormat="1" ht="21">
      <c r="A18" s="4" t="s">
        <v>4</v>
      </c>
      <c r="B18" s="5">
        <v>142.66509749</v>
      </c>
      <c r="C18" s="5">
        <v>142.66509749000002</v>
      </c>
      <c r="D18" s="6">
        <f>(C18)/B18</f>
        <v>1.0000000000000002</v>
      </c>
      <c r="G18" s="3"/>
    </row>
    <row r="19" spans="2:4" ht="15">
      <c r="B19" s="7"/>
      <c r="C19" s="7"/>
      <c r="D19" s="7"/>
    </row>
    <row r="21" spans="1:5" ht="63.75" customHeight="1">
      <c r="A21" s="195" t="s">
        <v>78</v>
      </c>
      <c r="B21" s="195"/>
      <c r="C21" s="195"/>
      <c r="D21" s="195"/>
      <c r="E21" s="195"/>
    </row>
    <row r="22" spans="1:5" ht="19.5">
      <c r="A22" s="87" t="s">
        <v>1866</v>
      </c>
      <c r="B22" s="87"/>
      <c r="C22" s="87"/>
      <c r="D22" s="87"/>
      <c r="E22" s="87"/>
    </row>
    <row r="23" spans="1:5" ht="19.5">
      <c r="A23" s="87" t="s">
        <v>20</v>
      </c>
      <c r="B23" s="87"/>
      <c r="C23" s="87"/>
      <c r="D23" s="87"/>
      <c r="E23" s="87"/>
    </row>
    <row r="24" spans="1:5" ht="19.5">
      <c r="A24" s="87" t="s">
        <v>19</v>
      </c>
      <c r="B24" s="87"/>
      <c r="C24" s="87"/>
      <c r="D24" s="87"/>
      <c r="E24" s="87"/>
    </row>
    <row r="25" spans="1:5" ht="19.5">
      <c r="A25" s="87" t="s">
        <v>1867</v>
      </c>
      <c r="B25" s="87"/>
      <c r="C25" s="87"/>
      <c r="D25" s="87"/>
      <c r="E25" s="87"/>
    </row>
    <row r="26" spans="1:6" ht="19.5">
      <c r="A26" s="87" t="s">
        <v>1868</v>
      </c>
      <c r="B26" s="87"/>
      <c r="C26" s="87"/>
      <c r="D26" s="87"/>
      <c r="E26" s="87"/>
      <c r="F26" s="75"/>
    </row>
    <row r="27" spans="1:6" ht="19.5">
      <c r="A27" s="87" t="s">
        <v>1869</v>
      </c>
      <c r="B27" s="87"/>
      <c r="C27" s="87"/>
      <c r="D27" s="87"/>
      <c r="E27" s="87"/>
      <c r="F27" s="75"/>
    </row>
    <row r="28" spans="1:6" ht="19.5">
      <c r="A28" s="87" t="s">
        <v>23</v>
      </c>
      <c r="B28" s="87"/>
      <c r="C28" s="87"/>
      <c r="D28" s="87"/>
      <c r="E28" s="87"/>
      <c r="F28" s="75"/>
    </row>
    <row r="29" spans="1:6" ht="19.5">
      <c r="A29" s="75"/>
      <c r="B29" s="75"/>
      <c r="C29" s="75"/>
      <c r="D29" s="75"/>
      <c r="E29" s="75"/>
      <c r="F29" s="75"/>
    </row>
    <row r="30" spans="1:6" ht="19.5">
      <c r="A30" s="75"/>
      <c r="B30" s="75"/>
      <c r="C30" s="75"/>
      <c r="D30" s="75"/>
      <c r="E30" s="75"/>
      <c r="F30" s="75"/>
    </row>
    <row r="31" spans="1:6" ht="19.5">
      <c r="A31" s="75"/>
      <c r="B31" s="75"/>
      <c r="C31" s="75"/>
      <c r="D31" s="75"/>
      <c r="E31" s="75"/>
      <c r="F31" s="75"/>
    </row>
    <row r="32" spans="1:6" ht="19.5">
      <c r="A32" s="75"/>
      <c r="B32" s="75"/>
      <c r="C32" s="75"/>
      <c r="D32" s="75"/>
      <c r="E32" s="75"/>
      <c r="F32" s="75"/>
    </row>
  </sheetData>
  <sheetProtection/>
  <mergeCells count="13">
    <mergeCell ref="A2:B3"/>
    <mergeCell ref="C2:E3"/>
    <mergeCell ref="A8:E9"/>
    <mergeCell ref="A10:E12"/>
    <mergeCell ref="A13:E13"/>
    <mergeCell ref="A21:E21"/>
    <mergeCell ref="A28:E28"/>
    <mergeCell ref="A25:E25"/>
    <mergeCell ref="A26:E26"/>
    <mergeCell ref="A27:E27"/>
    <mergeCell ref="A22:E22"/>
    <mergeCell ref="A23:E23"/>
    <mergeCell ref="A24:E24"/>
  </mergeCells>
  <hyperlinks>
    <hyperlink ref="A22:E22" location="DGCSD!A1" display=" Dirección General de Comunicación Social y Difusión"/>
    <hyperlink ref="A23:E23" location="DGGAT!A1" display="Dirección General de Gobierno Abierto y Transparencia"/>
    <hyperlink ref="A24:E24" location="DGAI!A1" display="Dirección General de Asuntos Internacionales"/>
    <hyperlink ref="A25:E25" location="DGGIE!A1" display="Dirección General de Gestión de Información y Estudios"/>
    <hyperlink ref="A26:E26" location="DGC!A1" display="Dirección General de Capacitación"/>
    <hyperlink ref="A27:E27" location="DGPVS!A1" display="Dirección General de Promoción y Vinculación con la Sociedad"/>
    <hyperlink ref="A28:E28" location="DGPAR!A1" display="Dirección General de Prevención y Autorregulación"/>
  </hyperlinks>
  <printOptions horizontalCentered="1"/>
  <pageMargins left="0.7480314960629921" right="0.7480314960629921" top="0.984251968503937" bottom="0.984251968503937" header="0.5118110236220472" footer="0.5118110236220472"/>
  <pageSetup horizontalDpi="600" verticalDpi="600" orientation="landscape" scale="63" r:id="rId1"/>
</worksheet>
</file>

<file path=xl/worksheets/sheet15.xml><?xml version="1.0" encoding="utf-8"?>
<worksheet xmlns="http://schemas.openxmlformats.org/spreadsheetml/2006/main" xmlns:r="http://schemas.openxmlformats.org/officeDocument/2006/relationships">
  <dimension ref="A1:G130"/>
  <sheetViews>
    <sheetView showGridLines="0" tabSelected="1" view="pageBreakPreview" zoomScale="70" zoomScaleSheetLayoutView="70" zoomScalePageLayoutView="0" workbookViewId="0" topLeftCell="A88">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275</v>
      </c>
      <c r="E5" s="141"/>
      <c r="F5" s="141"/>
      <c r="G5" s="142"/>
    </row>
    <row r="6" spans="1:7" ht="15.75">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276</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277</v>
      </c>
      <c r="B13" s="166"/>
      <c r="C13" s="166"/>
      <c r="D13" s="166"/>
      <c r="E13" s="166"/>
      <c r="F13" s="166"/>
      <c r="G13" s="167"/>
    </row>
    <row r="14" spans="1:7" ht="16.5">
      <c r="A14" s="39"/>
      <c r="B14" s="163" t="s">
        <v>98</v>
      </c>
      <c r="C14" s="163"/>
      <c r="D14" s="163"/>
      <c r="E14" s="163"/>
      <c r="F14" s="163"/>
      <c r="G14" s="164"/>
    </row>
    <row r="15" spans="1:7" ht="15.75">
      <c r="A15" s="40"/>
      <c r="B15" s="168" t="s">
        <v>99</v>
      </c>
      <c r="C15" s="168"/>
      <c r="D15" s="168"/>
      <c r="E15" s="168"/>
      <c r="F15" s="168"/>
      <c r="G15" s="169"/>
    </row>
    <row r="16" spans="1:7" ht="15.75">
      <c r="A16" s="107" t="s">
        <v>100</v>
      </c>
      <c r="B16" s="108"/>
      <c r="C16" s="108"/>
      <c r="D16" s="108"/>
      <c r="E16" s="108"/>
      <c r="F16" s="108"/>
      <c r="G16" s="109"/>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'E002'!B17</f>
        <v>185.189071</v>
      </c>
      <c r="F24" s="43">
        <f>'E002'!C17</f>
        <v>142.66509749000002</v>
      </c>
      <c r="G24" s="44">
        <f>F24/E24</f>
        <v>0.7703753613516426</v>
      </c>
    </row>
    <row r="25" spans="1:7" ht="15.75">
      <c r="A25" s="123" t="s">
        <v>114</v>
      </c>
      <c r="B25" s="124"/>
      <c r="C25" s="124"/>
      <c r="D25" s="125"/>
      <c r="E25" s="43">
        <f>'E002'!B18</f>
        <v>142.66509749</v>
      </c>
      <c r="F25" s="43">
        <f>'E002'!C18</f>
        <v>142.66509749000002</v>
      </c>
      <c r="G25" s="44">
        <f>F25/E25</f>
        <v>1.0000000000000002</v>
      </c>
    </row>
    <row r="26" spans="1:7" ht="15.75">
      <c r="A26" s="107" t="s">
        <v>115</v>
      </c>
      <c r="B26" s="108"/>
      <c r="C26" s="108"/>
      <c r="D26" s="108"/>
      <c r="E26" s="108"/>
      <c r="F26" s="108"/>
      <c r="G26" s="109"/>
    </row>
    <row r="27" spans="1:7" ht="15.75">
      <c r="A27" s="96" t="s">
        <v>278</v>
      </c>
      <c r="B27" s="96"/>
      <c r="C27" s="96"/>
      <c r="D27" s="96"/>
      <c r="E27" s="96"/>
      <c r="F27" s="96"/>
      <c r="G27" s="96"/>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10</v>
      </c>
    </row>
    <row r="30" spans="1:7" ht="15.75">
      <c r="A30" s="105"/>
      <c r="B30" s="105"/>
      <c r="C30" s="105"/>
      <c r="D30" s="105"/>
      <c r="E30" s="105"/>
      <c r="F30" s="45" t="s">
        <v>124</v>
      </c>
      <c r="G30" s="46">
        <v>10</v>
      </c>
    </row>
    <row r="31" spans="1:7" ht="47.25" customHeight="1">
      <c r="A31" s="100" t="s">
        <v>279</v>
      </c>
      <c r="B31" s="100" t="s">
        <v>280</v>
      </c>
      <c r="C31" s="100" t="s">
        <v>281</v>
      </c>
      <c r="D31" s="102" t="s">
        <v>282</v>
      </c>
      <c r="E31" s="102" t="s">
        <v>129</v>
      </c>
      <c r="F31" s="45" t="s">
        <v>130</v>
      </c>
      <c r="G31" s="47">
        <f>((59/54)-1)*100</f>
        <v>9.259259259259256</v>
      </c>
    </row>
    <row r="32" spans="1:7" ht="47.25" customHeight="1">
      <c r="A32" s="101"/>
      <c r="B32" s="101"/>
      <c r="C32" s="101"/>
      <c r="D32" s="103"/>
      <c r="E32" s="103"/>
      <c r="F32" s="45" t="s">
        <v>131</v>
      </c>
      <c r="G32" s="47">
        <v>92.59259259259255</v>
      </c>
    </row>
    <row r="33" spans="1:7" ht="15.75" customHeight="1">
      <c r="A33" s="104" t="s">
        <v>119</v>
      </c>
      <c r="B33" s="104" t="s">
        <v>120</v>
      </c>
      <c r="C33" s="104" t="s">
        <v>65</v>
      </c>
      <c r="D33" s="104" t="s">
        <v>121</v>
      </c>
      <c r="E33" s="104" t="s">
        <v>122</v>
      </c>
      <c r="F33" s="45" t="s">
        <v>123</v>
      </c>
      <c r="G33" s="46">
        <v>50</v>
      </c>
    </row>
    <row r="34" spans="1:7" ht="15.75">
      <c r="A34" s="105"/>
      <c r="B34" s="105"/>
      <c r="C34" s="105"/>
      <c r="D34" s="105"/>
      <c r="E34" s="105"/>
      <c r="F34" s="45" t="s">
        <v>124</v>
      </c>
      <c r="G34" s="46">
        <v>50</v>
      </c>
    </row>
    <row r="35" spans="1:7" ht="41.25" customHeight="1">
      <c r="A35" s="100" t="s">
        <v>283</v>
      </c>
      <c r="B35" s="100" t="s">
        <v>284</v>
      </c>
      <c r="C35" s="100" t="s">
        <v>285</v>
      </c>
      <c r="D35" s="102" t="s">
        <v>5</v>
      </c>
      <c r="E35" s="102" t="s">
        <v>286</v>
      </c>
      <c r="F35" s="45" t="s">
        <v>130</v>
      </c>
      <c r="G35" s="47" t="s">
        <v>39</v>
      </c>
    </row>
    <row r="36" spans="1:7" ht="41.25" customHeight="1">
      <c r="A36" s="101"/>
      <c r="B36" s="101"/>
      <c r="C36" s="101"/>
      <c r="D36" s="103"/>
      <c r="E36" s="103"/>
      <c r="F36" s="45" t="s">
        <v>131</v>
      </c>
      <c r="G36" s="47" t="s">
        <v>287</v>
      </c>
    </row>
    <row r="37" spans="1:7" ht="15.75">
      <c r="A37" s="96" t="s">
        <v>288</v>
      </c>
      <c r="B37" s="96"/>
      <c r="C37" s="96"/>
      <c r="D37" s="96"/>
      <c r="E37" s="96"/>
      <c r="F37" s="96"/>
      <c r="G37" s="96"/>
    </row>
    <row r="38" spans="1:7" ht="15.75">
      <c r="A38" s="106" t="s">
        <v>117</v>
      </c>
      <c r="B38" s="106"/>
      <c r="C38" s="106"/>
      <c r="D38" s="106"/>
      <c r="E38" s="106"/>
      <c r="F38" s="106" t="s">
        <v>118</v>
      </c>
      <c r="G38" s="106"/>
    </row>
    <row r="39" spans="1:7" ht="15.75" customHeight="1">
      <c r="A39" s="104" t="s">
        <v>119</v>
      </c>
      <c r="B39" s="104" t="s">
        <v>120</v>
      </c>
      <c r="C39" s="104" t="s">
        <v>65</v>
      </c>
      <c r="D39" s="104" t="s">
        <v>121</v>
      </c>
      <c r="E39" s="104" t="s">
        <v>122</v>
      </c>
      <c r="F39" s="45" t="s">
        <v>123</v>
      </c>
      <c r="G39" s="46">
        <v>6</v>
      </c>
    </row>
    <row r="40" spans="1:7" ht="15.75">
      <c r="A40" s="105"/>
      <c r="B40" s="105"/>
      <c r="C40" s="105"/>
      <c r="D40" s="105"/>
      <c r="E40" s="105"/>
      <c r="F40" s="45" t="s">
        <v>124</v>
      </c>
      <c r="G40" s="46">
        <v>6.2</v>
      </c>
    </row>
    <row r="41" spans="1:7" ht="35.25" customHeight="1">
      <c r="A41" s="100" t="s">
        <v>289</v>
      </c>
      <c r="B41" s="100" t="s">
        <v>290</v>
      </c>
      <c r="C41" s="100" t="s">
        <v>291</v>
      </c>
      <c r="D41" s="102" t="s">
        <v>128</v>
      </c>
      <c r="E41" s="102" t="s">
        <v>292</v>
      </c>
      <c r="F41" s="45" t="s">
        <v>130</v>
      </c>
      <c r="G41" s="47">
        <f>SUM(9.07*0.2)+SUM(7.84*0.2)+SUM(5.9*0.6)</f>
        <v>6.922000000000001</v>
      </c>
    </row>
    <row r="42" spans="1:7" ht="35.25" customHeight="1">
      <c r="A42" s="101"/>
      <c r="B42" s="101"/>
      <c r="C42" s="101"/>
      <c r="D42" s="103"/>
      <c r="E42" s="103"/>
      <c r="F42" s="45" t="s">
        <v>131</v>
      </c>
      <c r="G42" s="47">
        <v>111.64516129032258</v>
      </c>
    </row>
    <row r="43" spans="1:7" ht="15.75">
      <c r="A43" s="96" t="s">
        <v>293</v>
      </c>
      <c r="B43" s="96"/>
      <c r="C43" s="96"/>
      <c r="D43" s="96"/>
      <c r="E43" s="96"/>
      <c r="F43" s="96"/>
      <c r="G43" s="96"/>
    </row>
    <row r="44" spans="1:7" ht="15.75">
      <c r="A44" s="106" t="s">
        <v>117</v>
      </c>
      <c r="B44" s="106"/>
      <c r="C44" s="106"/>
      <c r="D44" s="106"/>
      <c r="E44" s="106"/>
      <c r="F44" s="106" t="s">
        <v>118</v>
      </c>
      <c r="G44" s="106"/>
    </row>
    <row r="45" spans="1:7" ht="15.75" customHeight="1">
      <c r="A45" s="104" t="s">
        <v>119</v>
      </c>
      <c r="B45" s="104" t="s">
        <v>120</v>
      </c>
      <c r="C45" s="104" t="s">
        <v>65</v>
      </c>
      <c r="D45" s="104" t="s">
        <v>121</v>
      </c>
      <c r="E45" s="104" t="s">
        <v>122</v>
      </c>
      <c r="F45" s="45" t="s">
        <v>123</v>
      </c>
      <c r="G45" s="46">
        <v>96</v>
      </c>
    </row>
    <row r="46" spans="1:7" ht="15.75">
      <c r="A46" s="105"/>
      <c r="B46" s="105"/>
      <c r="C46" s="105"/>
      <c r="D46" s="105"/>
      <c r="E46" s="105"/>
      <c r="F46" s="45" t="s">
        <v>124</v>
      </c>
      <c r="G46" s="46">
        <v>96</v>
      </c>
    </row>
    <row r="47" spans="1:7" ht="15.75" customHeight="1">
      <c r="A47" s="100" t="s">
        <v>294</v>
      </c>
      <c r="B47" s="100" t="s">
        <v>295</v>
      </c>
      <c r="C47" s="100" t="s">
        <v>296</v>
      </c>
      <c r="D47" s="102" t="s">
        <v>297</v>
      </c>
      <c r="E47" s="102" t="s">
        <v>298</v>
      </c>
      <c r="F47" s="45" t="s">
        <v>130</v>
      </c>
      <c r="G47" s="47">
        <f>SUM(100*100*100*100*100)^(1/5)</f>
        <v>100.00000000000004</v>
      </c>
    </row>
    <row r="48" spans="1:7" ht="27">
      <c r="A48" s="101"/>
      <c r="B48" s="101"/>
      <c r="C48" s="101"/>
      <c r="D48" s="103"/>
      <c r="E48" s="103"/>
      <c r="F48" s="45" t="s">
        <v>131</v>
      </c>
      <c r="G48" s="47">
        <v>104.16666666666671</v>
      </c>
    </row>
    <row r="49" spans="1:7" ht="15.75" customHeight="1">
      <c r="A49" s="104" t="s">
        <v>119</v>
      </c>
      <c r="B49" s="104" t="s">
        <v>120</v>
      </c>
      <c r="C49" s="104" t="s">
        <v>65</v>
      </c>
      <c r="D49" s="104" t="s">
        <v>121</v>
      </c>
      <c r="E49" s="104" t="s">
        <v>122</v>
      </c>
      <c r="F49" s="45" t="s">
        <v>123</v>
      </c>
      <c r="G49" s="46">
        <v>60</v>
      </c>
    </row>
    <row r="50" spans="1:7" ht="15.75">
      <c r="A50" s="105"/>
      <c r="B50" s="105"/>
      <c r="C50" s="105"/>
      <c r="D50" s="105"/>
      <c r="E50" s="105"/>
      <c r="F50" s="45" t="s">
        <v>124</v>
      </c>
      <c r="G50" s="46">
        <v>65</v>
      </c>
    </row>
    <row r="51" spans="1:7" ht="35.25" customHeight="1">
      <c r="A51" s="100" t="s">
        <v>299</v>
      </c>
      <c r="B51" s="100" t="s">
        <v>300</v>
      </c>
      <c r="C51" s="100" t="s">
        <v>301</v>
      </c>
      <c r="D51" s="102" t="s">
        <v>5</v>
      </c>
      <c r="E51" s="102" t="s">
        <v>302</v>
      </c>
      <c r="F51" s="45" t="s">
        <v>130</v>
      </c>
      <c r="G51" s="47">
        <f>SUM(127/166)*100</f>
        <v>76.50602409638554</v>
      </c>
    </row>
    <row r="52" spans="1:7" ht="35.25" customHeight="1">
      <c r="A52" s="101"/>
      <c r="B52" s="101"/>
      <c r="C52" s="101"/>
      <c r="D52" s="103"/>
      <c r="E52" s="103"/>
      <c r="F52" s="45" t="s">
        <v>131</v>
      </c>
      <c r="G52" s="47">
        <v>117.70157553290083</v>
      </c>
    </row>
    <row r="53" spans="1:7" ht="15.75">
      <c r="A53" s="96" t="s">
        <v>303</v>
      </c>
      <c r="B53" s="96"/>
      <c r="C53" s="96"/>
      <c r="D53" s="96"/>
      <c r="E53" s="96"/>
      <c r="F53" s="96"/>
      <c r="G53" s="96"/>
    </row>
    <row r="54" spans="1:7" ht="15.75">
      <c r="A54" s="106" t="s">
        <v>117</v>
      </c>
      <c r="B54" s="106"/>
      <c r="C54" s="106"/>
      <c r="D54" s="106"/>
      <c r="E54" s="106"/>
      <c r="F54" s="106" t="s">
        <v>118</v>
      </c>
      <c r="G54" s="106"/>
    </row>
    <row r="55" spans="1:7" ht="15.75" customHeight="1">
      <c r="A55" s="104" t="s">
        <v>119</v>
      </c>
      <c r="B55" s="104" t="s">
        <v>120</v>
      </c>
      <c r="C55" s="104" t="s">
        <v>65</v>
      </c>
      <c r="D55" s="104" t="s">
        <v>121</v>
      </c>
      <c r="E55" s="104" t="s">
        <v>122</v>
      </c>
      <c r="F55" s="45" t="s">
        <v>123</v>
      </c>
      <c r="G55" s="46">
        <v>100</v>
      </c>
    </row>
    <row r="56" spans="1:7" ht="15.75">
      <c r="A56" s="105"/>
      <c r="B56" s="105"/>
      <c r="C56" s="105"/>
      <c r="D56" s="105"/>
      <c r="E56" s="105"/>
      <c r="F56" s="45" t="s">
        <v>124</v>
      </c>
      <c r="G56" s="46">
        <v>100</v>
      </c>
    </row>
    <row r="57" spans="1:7" ht="15.75">
      <c r="A57" s="100" t="s">
        <v>304</v>
      </c>
      <c r="B57" s="100" t="s">
        <v>305</v>
      </c>
      <c r="C57" s="100" t="s">
        <v>306</v>
      </c>
      <c r="D57" s="102" t="s">
        <v>5</v>
      </c>
      <c r="E57" s="102" t="s">
        <v>298</v>
      </c>
      <c r="F57" s="45" t="s">
        <v>130</v>
      </c>
      <c r="G57" s="47">
        <f>SUM(17/17)*100</f>
        <v>100</v>
      </c>
    </row>
    <row r="58" spans="1:7" ht="27">
      <c r="A58" s="101"/>
      <c r="B58" s="101"/>
      <c r="C58" s="101"/>
      <c r="D58" s="103"/>
      <c r="E58" s="103"/>
      <c r="F58" s="45" t="s">
        <v>131</v>
      </c>
      <c r="G58" s="47">
        <v>100</v>
      </c>
    </row>
    <row r="59" spans="1:7" ht="15.75" customHeight="1">
      <c r="A59" s="104" t="s">
        <v>119</v>
      </c>
      <c r="B59" s="104" t="s">
        <v>120</v>
      </c>
      <c r="C59" s="104" t="s">
        <v>65</v>
      </c>
      <c r="D59" s="104" t="s">
        <v>121</v>
      </c>
      <c r="E59" s="104" t="s">
        <v>122</v>
      </c>
      <c r="F59" s="45" t="s">
        <v>123</v>
      </c>
      <c r="G59" s="46">
        <v>100</v>
      </c>
    </row>
    <row r="60" spans="1:7" ht="15.75">
      <c r="A60" s="105"/>
      <c r="B60" s="105"/>
      <c r="C60" s="105"/>
      <c r="D60" s="105"/>
      <c r="E60" s="105"/>
      <c r="F60" s="45" t="s">
        <v>124</v>
      </c>
      <c r="G60" s="46">
        <v>100</v>
      </c>
    </row>
    <row r="61" spans="1:7" ht="23.25" customHeight="1">
      <c r="A61" s="100" t="s">
        <v>307</v>
      </c>
      <c r="B61" s="100" t="s">
        <v>308</v>
      </c>
      <c r="C61" s="100" t="s">
        <v>306</v>
      </c>
      <c r="D61" s="102" t="s">
        <v>5</v>
      </c>
      <c r="E61" s="102" t="s">
        <v>298</v>
      </c>
      <c r="F61" s="45" t="s">
        <v>130</v>
      </c>
      <c r="G61" s="47">
        <f>SUM(21/21)*100</f>
        <v>100</v>
      </c>
    </row>
    <row r="62" spans="1:7" ht="27">
      <c r="A62" s="101"/>
      <c r="B62" s="101"/>
      <c r="C62" s="101"/>
      <c r="D62" s="103"/>
      <c r="E62" s="103"/>
      <c r="F62" s="45" t="s">
        <v>131</v>
      </c>
      <c r="G62" s="47">
        <v>100</v>
      </c>
    </row>
    <row r="63" spans="1:7" ht="15.75" customHeight="1">
      <c r="A63" s="104" t="s">
        <v>119</v>
      </c>
      <c r="B63" s="104" t="s">
        <v>120</v>
      </c>
      <c r="C63" s="104" t="s">
        <v>65</v>
      </c>
      <c r="D63" s="104" t="s">
        <v>121</v>
      </c>
      <c r="E63" s="104" t="s">
        <v>122</v>
      </c>
      <c r="F63" s="45" t="s">
        <v>123</v>
      </c>
      <c r="G63" s="46">
        <v>100</v>
      </c>
    </row>
    <row r="64" spans="1:7" ht="15.75">
      <c r="A64" s="105"/>
      <c r="B64" s="105"/>
      <c r="C64" s="105"/>
      <c r="D64" s="105"/>
      <c r="E64" s="105"/>
      <c r="F64" s="45" t="s">
        <v>124</v>
      </c>
      <c r="G64" s="46">
        <v>100</v>
      </c>
    </row>
    <row r="65" spans="1:7" ht="33.75" customHeight="1">
      <c r="A65" s="100" t="s">
        <v>309</v>
      </c>
      <c r="B65" s="100" t="s">
        <v>310</v>
      </c>
      <c r="C65" s="100" t="s">
        <v>311</v>
      </c>
      <c r="D65" s="102" t="s">
        <v>5</v>
      </c>
      <c r="E65" s="102" t="s">
        <v>167</v>
      </c>
      <c r="F65" s="45" t="s">
        <v>130</v>
      </c>
      <c r="G65" s="47">
        <f>SUM(38/38)*100</f>
        <v>100</v>
      </c>
    </row>
    <row r="66" spans="1:7" ht="33.75" customHeight="1">
      <c r="A66" s="101"/>
      <c r="B66" s="101"/>
      <c r="C66" s="101"/>
      <c r="D66" s="103"/>
      <c r="E66" s="103"/>
      <c r="F66" s="45" t="s">
        <v>131</v>
      </c>
      <c r="G66" s="47">
        <v>100</v>
      </c>
    </row>
    <row r="67" spans="1:7" ht="15.75" customHeight="1">
      <c r="A67" s="104" t="s">
        <v>119</v>
      </c>
      <c r="B67" s="104" t="s">
        <v>120</v>
      </c>
      <c r="C67" s="104" t="s">
        <v>65</v>
      </c>
      <c r="D67" s="104" t="s">
        <v>121</v>
      </c>
      <c r="E67" s="104" t="s">
        <v>122</v>
      </c>
      <c r="F67" s="45" t="s">
        <v>123</v>
      </c>
      <c r="G67" s="46">
        <v>100</v>
      </c>
    </row>
    <row r="68" spans="1:7" ht="15.75">
      <c r="A68" s="105"/>
      <c r="B68" s="105"/>
      <c r="C68" s="105"/>
      <c r="D68" s="105"/>
      <c r="E68" s="105"/>
      <c r="F68" s="45" t="s">
        <v>124</v>
      </c>
      <c r="G68" s="46">
        <v>100</v>
      </c>
    </row>
    <row r="69" spans="1:7" ht="29.25" customHeight="1">
      <c r="A69" s="100" t="s">
        <v>312</v>
      </c>
      <c r="B69" s="100" t="s">
        <v>313</v>
      </c>
      <c r="C69" s="100" t="s">
        <v>314</v>
      </c>
      <c r="D69" s="102" t="s">
        <v>5</v>
      </c>
      <c r="E69" s="102" t="s">
        <v>167</v>
      </c>
      <c r="F69" s="45" t="s">
        <v>130</v>
      </c>
      <c r="G69" s="47">
        <f>SUM(12/12)*100</f>
        <v>100</v>
      </c>
    </row>
    <row r="70" spans="1:7" ht="29.25" customHeight="1">
      <c r="A70" s="101"/>
      <c r="B70" s="101"/>
      <c r="C70" s="101"/>
      <c r="D70" s="103"/>
      <c r="E70" s="103"/>
      <c r="F70" s="45" t="s">
        <v>131</v>
      </c>
      <c r="G70" s="47">
        <v>100</v>
      </c>
    </row>
    <row r="71" spans="1:7" ht="15.75" customHeight="1">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15.75" customHeight="1">
      <c r="A73" s="100" t="s">
        <v>315</v>
      </c>
      <c r="B73" s="100" t="s">
        <v>316</v>
      </c>
      <c r="C73" s="100" t="s">
        <v>317</v>
      </c>
      <c r="D73" s="102" t="s">
        <v>5</v>
      </c>
      <c r="E73" s="102" t="s">
        <v>167</v>
      </c>
      <c r="F73" s="45" t="s">
        <v>130</v>
      </c>
      <c r="G73" s="47">
        <f>SUM(292/292)*100</f>
        <v>100</v>
      </c>
    </row>
    <row r="74" spans="1:7" ht="27">
      <c r="A74" s="101"/>
      <c r="B74" s="101"/>
      <c r="C74" s="101"/>
      <c r="D74" s="103"/>
      <c r="E74" s="103"/>
      <c r="F74" s="45" t="s">
        <v>131</v>
      </c>
      <c r="G74" s="47">
        <v>100</v>
      </c>
    </row>
    <row r="75" spans="1:7" ht="15.75" customHeight="1">
      <c r="A75" s="104" t="s">
        <v>119</v>
      </c>
      <c r="B75" s="104" t="s">
        <v>120</v>
      </c>
      <c r="C75" s="104" t="s">
        <v>65</v>
      </c>
      <c r="D75" s="104" t="s">
        <v>121</v>
      </c>
      <c r="E75" s="104" t="s">
        <v>122</v>
      </c>
      <c r="F75" s="45" t="s">
        <v>123</v>
      </c>
      <c r="G75" s="46">
        <v>100</v>
      </c>
    </row>
    <row r="76" spans="1:7" ht="15.75">
      <c r="A76" s="105"/>
      <c r="B76" s="105"/>
      <c r="C76" s="105"/>
      <c r="D76" s="105"/>
      <c r="E76" s="105"/>
      <c r="F76" s="45" t="s">
        <v>124</v>
      </c>
      <c r="G76" s="46">
        <v>100</v>
      </c>
    </row>
    <row r="77" spans="1:7" ht="15.75" customHeight="1">
      <c r="A77" s="100" t="s">
        <v>318</v>
      </c>
      <c r="B77" s="100" t="s">
        <v>319</v>
      </c>
      <c r="C77" s="100" t="s">
        <v>320</v>
      </c>
      <c r="D77" s="102" t="s">
        <v>5</v>
      </c>
      <c r="E77" s="102" t="s">
        <v>167</v>
      </c>
      <c r="F77" s="45" t="s">
        <v>130</v>
      </c>
      <c r="G77" s="47">
        <f>SUM(4/4)*100</f>
        <v>100</v>
      </c>
    </row>
    <row r="78" spans="1:7" ht="27">
      <c r="A78" s="101"/>
      <c r="B78" s="101"/>
      <c r="C78" s="101"/>
      <c r="D78" s="103"/>
      <c r="E78" s="103"/>
      <c r="F78" s="45" t="s">
        <v>131</v>
      </c>
      <c r="G78" s="47">
        <v>100</v>
      </c>
    </row>
    <row r="79" spans="1:7" s="51" customFormat="1" ht="13.5">
      <c r="A79" s="96" t="s">
        <v>192</v>
      </c>
      <c r="B79" s="96"/>
      <c r="C79" s="96"/>
      <c r="D79" s="96"/>
      <c r="E79" s="96"/>
      <c r="F79" s="96"/>
      <c r="G79" s="96"/>
    </row>
    <row r="80" spans="1:7" s="51" customFormat="1" ht="13.5">
      <c r="A80" s="99" t="str">
        <f>A31</f>
        <v>Tasa de Incremento de la Imagen y Percepción Institucional</v>
      </c>
      <c r="B80" s="99"/>
      <c r="C80" s="99"/>
      <c r="D80" s="99"/>
      <c r="E80" s="99"/>
      <c r="F80" s="99"/>
      <c r="G80" s="99"/>
    </row>
    <row r="81" spans="1:7" s="51" customFormat="1" ht="63" customHeight="1">
      <c r="A81" s="48" t="s">
        <v>193</v>
      </c>
      <c r="B81" s="201" t="s">
        <v>321</v>
      </c>
      <c r="C81" s="201"/>
      <c r="D81" s="201"/>
      <c r="E81" s="201"/>
      <c r="F81" s="201"/>
      <c r="G81" s="201"/>
    </row>
    <row r="82" spans="1:7" s="51" customFormat="1" ht="31.5" customHeight="1">
      <c r="A82" s="49" t="s">
        <v>6</v>
      </c>
      <c r="B82" s="198" t="s">
        <v>322</v>
      </c>
      <c r="C82" s="199"/>
      <c r="D82" s="199"/>
      <c r="E82" s="199"/>
      <c r="F82" s="199"/>
      <c r="G82" s="200"/>
    </row>
    <row r="83" spans="1:7" s="51" customFormat="1" ht="13.5">
      <c r="A83" s="49" t="s">
        <v>195</v>
      </c>
      <c r="B83" s="95" t="s">
        <v>259</v>
      </c>
      <c r="C83" s="95"/>
      <c r="D83" s="95"/>
      <c r="E83" s="95"/>
      <c r="F83" s="95"/>
      <c r="G83" s="95"/>
    </row>
    <row r="84" spans="1:7" s="51" customFormat="1" ht="13.5">
      <c r="A84" s="90" t="str">
        <f>A35</f>
        <v>Porcentaje de personas que conocen o han oído hablar del Instituto</v>
      </c>
      <c r="B84" s="90"/>
      <c r="C84" s="90"/>
      <c r="D84" s="90"/>
      <c r="E84" s="90"/>
      <c r="F84" s="90"/>
      <c r="G84" s="90"/>
    </row>
    <row r="85" spans="1:7" s="51" customFormat="1" ht="13.5">
      <c r="A85" s="49" t="s">
        <v>193</v>
      </c>
      <c r="B85" s="95" t="s">
        <v>323</v>
      </c>
      <c r="C85" s="95"/>
      <c r="D85" s="95"/>
      <c r="E85" s="95"/>
      <c r="F85" s="95"/>
      <c r="G85" s="95"/>
    </row>
    <row r="86" spans="1:7" s="51" customFormat="1" ht="13.5">
      <c r="A86" s="49" t="s">
        <v>6</v>
      </c>
      <c r="B86" s="95" t="s">
        <v>323</v>
      </c>
      <c r="C86" s="95"/>
      <c r="D86" s="95"/>
      <c r="E86" s="95"/>
      <c r="F86" s="95"/>
      <c r="G86" s="95"/>
    </row>
    <row r="87" spans="1:7" s="51" customFormat="1" ht="13.5">
      <c r="A87" s="49" t="s">
        <v>195</v>
      </c>
      <c r="B87" s="95" t="s">
        <v>259</v>
      </c>
      <c r="C87" s="95"/>
      <c r="D87" s="95"/>
      <c r="E87" s="95"/>
      <c r="F87" s="95"/>
      <c r="G87" s="95"/>
    </row>
    <row r="88" spans="1:7" s="51" customFormat="1" ht="13.5">
      <c r="A88" s="90" t="str">
        <f>A41</f>
        <v>Índice de posicionamiento de identidad institucional. </v>
      </c>
      <c r="B88" s="90"/>
      <c r="C88" s="90"/>
      <c r="D88" s="90"/>
      <c r="E88" s="90"/>
      <c r="F88" s="90"/>
      <c r="G88" s="90"/>
    </row>
    <row r="89" spans="1:7" s="51" customFormat="1" ht="78" customHeight="1">
      <c r="A89" s="49" t="s">
        <v>193</v>
      </c>
      <c r="B89" s="95" t="s">
        <v>324</v>
      </c>
      <c r="C89" s="95"/>
      <c r="D89" s="95"/>
      <c r="E89" s="95"/>
      <c r="F89" s="95"/>
      <c r="G89" s="95"/>
    </row>
    <row r="90" spans="1:7" s="51" customFormat="1" ht="27" customHeight="1">
      <c r="A90" s="49" t="s">
        <v>6</v>
      </c>
      <c r="B90" s="198" t="s">
        <v>325</v>
      </c>
      <c r="C90" s="199"/>
      <c r="D90" s="199"/>
      <c r="E90" s="199"/>
      <c r="F90" s="199"/>
      <c r="G90" s="200"/>
    </row>
    <row r="91" spans="1:7" s="51" customFormat="1" ht="13.5">
      <c r="A91" s="49" t="s">
        <v>195</v>
      </c>
      <c r="B91" s="95"/>
      <c r="C91" s="95"/>
      <c r="D91" s="95"/>
      <c r="E91" s="95"/>
      <c r="F91" s="95"/>
      <c r="G91" s="95"/>
    </row>
    <row r="92" spans="1:7" s="51" customFormat="1" ht="13.5">
      <c r="A92" s="90" t="str">
        <f>A47</f>
        <v>Media geométrica del cumplimiento de las actividades en materia de medios y sociedad </v>
      </c>
      <c r="B92" s="90"/>
      <c r="C92" s="90"/>
      <c r="D92" s="90"/>
      <c r="E92" s="90"/>
      <c r="F92" s="90"/>
      <c r="G92" s="90"/>
    </row>
    <row r="93" spans="1:7" s="51" customFormat="1" ht="13.5">
      <c r="A93" s="49" t="s">
        <v>193</v>
      </c>
      <c r="B93" s="95" t="s">
        <v>326</v>
      </c>
      <c r="C93" s="95"/>
      <c r="D93" s="95"/>
      <c r="E93" s="95"/>
      <c r="F93" s="95"/>
      <c r="G93" s="95"/>
    </row>
    <row r="94" spans="1:7" s="51" customFormat="1" ht="13.5">
      <c r="A94" s="49" t="s">
        <v>6</v>
      </c>
      <c r="B94" s="95" t="s">
        <v>327</v>
      </c>
      <c r="C94" s="95"/>
      <c r="D94" s="95"/>
      <c r="E94" s="95"/>
      <c r="F94" s="95"/>
      <c r="G94" s="95"/>
    </row>
    <row r="95" spans="1:7" s="51" customFormat="1" ht="13.5">
      <c r="A95" s="49" t="s">
        <v>195</v>
      </c>
      <c r="B95" s="95"/>
      <c r="C95" s="95"/>
      <c r="D95" s="95"/>
      <c r="E95" s="95"/>
      <c r="F95" s="95"/>
      <c r="G95" s="95"/>
    </row>
    <row r="96" spans="1:7" s="51" customFormat="1" ht="13.5">
      <c r="A96" s="90" t="str">
        <f>A51</f>
        <v>Porcentaje de personas que juzgan que las actividades en materia de comunicación interna cumplen con su objetivo.</v>
      </c>
      <c r="B96" s="90"/>
      <c r="C96" s="90"/>
      <c r="D96" s="90"/>
      <c r="E96" s="90"/>
      <c r="F96" s="90"/>
      <c r="G96" s="90"/>
    </row>
    <row r="97" spans="1:7" s="51" customFormat="1" ht="13.5">
      <c r="A97" s="49" t="s">
        <v>193</v>
      </c>
      <c r="B97" s="95" t="s">
        <v>328</v>
      </c>
      <c r="C97" s="95"/>
      <c r="D97" s="95"/>
      <c r="E97" s="95"/>
      <c r="F97" s="95"/>
      <c r="G97" s="95"/>
    </row>
    <row r="98" spans="1:7" s="51" customFormat="1" ht="13.5">
      <c r="A98" s="49" t="s">
        <v>6</v>
      </c>
      <c r="B98" s="95" t="s">
        <v>329</v>
      </c>
      <c r="C98" s="95"/>
      <c r="D98" s="95"/>
      <c r="E98" s="95"/>
      <c r="F98" s="95"/>
      <c r="G98" s="95"/>
    </row>
    <row r="99" spans="1:7" s="51" customFormat="1" ht="13.5">
      <c r="A99" s="49" t="s">
        <v>195</v>
      </c>
      <c r="B99" s="95"/>
      <c r="C99" s="95"/>
      <c r="D99" s="95"/>
      <c r="E99" s="95"/>
      <c r="F99" s="95"/>
      <c r="G99" s="95"/>
    </row>
    <row r="100" spans="1:7" s="51" customFormat="1" ht="13.5">
      <c r="A100" s="90" t="str">
        <f>A57</f>
        <v>Porcentaje de cumplimiento de las actividades calendarizadas para la realización de la campaña</v>
      </c>
      <c r="B100" s="90"/>
      <c r="C100" s="90"/>
      <c r="D100" s="90"/>
      <c r="E100" s="90"/>
      <c r="F100" s="90"/>
      <c r="G100" s="90"/>
    </row>
    <row r="101" spans="1:7" s="51" customFormat="1" ht="13.5">
      <c r="A101" s="49" t="s">
        <v>193</v>
      </c>
      <c r="B101" s="95" t="s">
        <v>330</v>
      </c>
      <c r="C101" s="95"/>
      <c r="D101" s="95"/>
      <c r="E101" s="95"/>
      <c r="F101" s="95"/>
      <c r="G101" s="95"/>
    </row>
    <row r="102" spans="1:7" s="51" customFormat="1" ht="13.5">
      <c r="A102" s="49" t="s">
        <v>6</v>
      </c>
      <c r="B102" s="95" t="s">
        <v>331</v>
      </c>
      <c r="C102" s="95"/>
      <c r="D102" s="95"/>
      <c r="E102" s="95"/>
      <c r="F102" s="95"/>
      <c r="G102" s="95"/>
    </row>
    <row r="103" spans="1:7" s="51" customFormat="1" ht="13.5">
      <c r="A103" s="49" t="s">
        <v>195</v>
      </c>
      <c r="B103" s="95" t="s">
        <v>332</v>
      </c>
      <c r="C103" s="95"/>
      <c r="D103" s="95"/>
      <c r="E103" s="95"/>
      <c r="F103" s="95"/>
      <c r="G103" s="95"/>
    </row>
    <row r="104" spans="1:7" s="51" customFormat="1" ht="13.5">
      <c r="A104" s="90" t="str">
        <f>A61</f>
        <v>Porcentaje de cumplimiento del calendario para la aplicación de la Encuesta INAI de percepción nacional ciudadana</v>
      </c>
      <c r="B104" s="90"/>
      <c r="C104" s="90"/>
      <c r="D104" s="90"/>
      <c r="E104" s="90"/>
      <c r="F104" s="90"/>
      <c r="G104" s="90"/>
    </row>
    <row r="105" spans="1:7" s="51" customFormat="1" ht="13.5">
      <c r="A105" s="49" t="s">
        <v>193</v>
      </c>
      <c r="B105" s="95" t="s">
        <v>333</v>
      </c>
      <c r="C105" s="95"/>
      <c r="D105" s="95"/>
      <c r="E105" s="95"/>
      <c r="F105" s="95"/>
      <c r="G105" s="95"/>
    </row>
    <row r="106" spans="1:7" s="51" customFormat="1" ht="13.5">
      <c r="A106" s="49" t="s">
        <v>6</v>
      </c>
      <c r="B106" s="95" t="s">
        <v>334</v>
      </c>
      <c r="C106" s="95"/>
      <c r="D106" s="95"/>
      <c r="E106" s="95"/>
      <c r="F106" s="95"/>
      <c r="G106" s="95"/>
    </row>
    <row r="107" spans="1:7" s="51" customFormat="1" ht="13.5">
      <c r="A107" s="49" t="s">
        <v>195</v>
      </c>
      <c r="B107" s="95"/>
      <c r="C107" s="95"/>
      <c r="D107" s="95"/>
      <c r="E107" s="95"/>
      <c r="F107" s="95"/>
      <c r="G107" s="95"/>
    </row>
    <row r="108" spans="1:7" s="51" customFormat="1" ht="13.5">
      <c r="A108" s="90" t="str">
        <f>A65</f>
        <v>Porcentaje de cumplimiento en la elaboración de campañas de sensibilización de los derechos que tutela el Instituto, planteadas en la Estrategia de difusión en redes sociales 2017.</v>
      </c>
      <c r="B108" s="90"/>
      <c r="C108" s="90"/>
      <c r="D108" s="90"/>
      <c r="E108" s="90"/>
      <c r="F108" s="90"/>
      <c r="G108" s="90"/>
    </row>
    <row r="109" spans="1:7" s="51" customFormat="1" ht="27" customHeight="1">
      <c r="A109" s="49" t="s">
        <v>193</v>
      </c>
      <c r="B109" s="95" t="s">
        <v>335</v>
      </c>
      <c r="C109" s="95"/>
      <c r="D109" s="95"/>
      <c r="E109" s="95"/>
      <c r="F109" s="95"/>
      <c r="G109" s="95"/>
    </row>
    <row r="110" spans="1:7" s="51" customFormat="1" ht="27" customHeight="1">
      <c r="A110" s="49" t="s">
        <v>6</v>
      </c>
      <c r="B110" s="95" t="s">
        <v>336</v>
      </c>
      <c r="C110" s="95"/>
      <c r="D110" s="95"/>
      <c r="E110" s="95"/>
      <c r="F110" s="95"/>
      <c r="G110" s="95"/>
    </row>
    <row r="111" spans="1:7" s="51" customFormat="1" ht="13.5">
      <c r="A111" s="49" t="s">
        <v>195</v>
      </c>
      <c r="B111" s="95"/>
      <c r="C111" s="95"/>
      <c r="D111" s="95"/>
      <c r="E111" s="95"/>
      <c r="F111" s="95"/>
      <c r="G111" s="95"/>
    </row>
    <row r="112" spans="1:7" s="51" customFormat="1" ht="13.5">
      <c r="A112" s="90" t="str">
        <f>A69</f>
        <v>Porcentaje de cumplimiento en el compromiso de elaboración de reportes de impacto en los medios a partir de las comunicaciones  generadas por el Instituto.</v>
      </c>
      <c r="B112" s="90"/>
      <c r="C112" s="90"/>
      <c r="D112" s="90"/>
      <c r="E112" s="90"/>
      <c r="F112" s="90"/>
      <c r="G112" s="90"/>
    </row>
    <row r="113" spans="1:7" s="51" customFormat="1" ht="13.5">
      <c r="A113" s="49" t="s">
        <v>193</v>
      </c>
      <c r="B113" s="95" t="s">
        <v>337</v>
      </c>
      <c r="C113" s="95"/>
      <c r="D113" s="95"/>
      <c r="E113" s="95"/>
      <c r="F113" s="95"/>
      <c r="G113" s="95"/>
    </row>
    <row r="114" spans="1:7" s="51" customFormat="1" ht="13.5">
      <c r="A114" s="49" t="s">
        <v>6</v>
      </c>
      <c r="B114" s="95" t="s">
        <v>338</v>
      </c>
      <c r="C114" s="95"/>
      <c r="D114" s="95"/>
      <c r="E114" s="95"/>
      <c r="F114" s="95"/>
      <c r="G114" s="95"/>
    </row>
    <row r="115" spans="1:7" s="51" customFormat="1" ht="13.5">
      <c r="A115" s="49" t="s">
        <v>195</v>
      </c>
      <c r="B115" s="95" t="s">
        <v>259</v>
      </c>
      <c r="C115" s="95"/>
      <c r="D115" s="95"/>
      <c r="E115" s="95"/>
      <c r="F115" s="95"/>
      <c r="G115" s="95"/>
    </row>
    <row r="116" spans="1:7" s="51" customFormat="1" ht="13.5">
      <c r="A116" s="90" t="str">
        <f>A73</f>
        <v>Porcentaje de cumplimiento de coberturas informativas de actividades institucionales del INAI solicitadas.</v>
      </c>
      <c r="B116" s="90"/>
      <c r="C116" s="90"/>
      <c r="D116" s="90"/>
      <c r="E116" s="90"/>
      <c r="F116" s="90"/>
      <c r="G116" s="90"/>
    </row>
    <row r="117" spans="1:7" s="51" customFormat="1" ht="13.5">
      <c r="A117" s="49" t="s">
        <v>193</v>
      </c>
      <c r="B117" s="95" t="s">
        <v>339</v>
      </c>
      <c r="C117" s="95"/>
      <c r="D117" s="95"/>
      <c r="E117" s="95"/>
      <c r="F117" s="95"/>
      <c r="G117" s="95"/>
    </row>
    <row r="118" spans="1:7" s="51" customFormat="1" ht="13.5">
      <c r="A118" s="49" t="s">
        <v>6</v>
      </c>
      <c r="B118" s="95" t="s">
        <v>340</v>
      </c>
      <c r="C118" s="95"/>
      <c r="D118" s="95"/>
      <c r="E118" s="95"/>
      <c r="F118" s="95"/>
      <c r="G118" s="95"/>
    </row>
    <row r="119" spans="1:7" s="51" customFormat="1" ht="13.5">
      <c r="A119" s="49" t="s">
        <v>195</v>
      </c>
      <c r="B119" s="95" t="s">
        <v>259</v>
      </c>
      <c r="C119" s="95"/>
      <c r="D119" s="95"/>
      <c r="E119" s="95"/>
      <c r="F119" s="95"/>
      <c r="G119" s="95"/>
    </row>
    <row r="120" spans="1:7" s="51" customFormat="1" ht="13.5">
      <c r="A120" s="90" t="str">
        <f>A77</f>
        <v>Porcentaje de cumplimiento en el compromiso de ejecución de estrategias de comunicación interna.</v>
      </c>
      <c r="B120" s="90"/>
      <c r="C120" s="90"/>
      <c r="D120" s="90"/>
      <c r="E120" s="90"/>
      <c r="F120" s="90"/>
      <c r="G120" s="90"/>
    </row>
    <row r="121" spans="1:7" s="51" customFormat="1" ht="43.5" customHeight="1">
      <c r="A121" s="49" t="s">
        <v>193</v>
      </c>
      <c r="B121" s="95" t="s">
        <v>341</v>
      </c>
      <c r="C121" s="95"/>
      <c r="D121" s="95"/>
      <c r="E121" s="95"/>
      <c r="F121" s="95"/>
      <c r="G121" s="95"/>
    </row>
    <row r="122" spans="1:7" s="51" customFormat="1" ht="27" customHeight="1">
      <c r="A122" s="49" t="s">
        <v>6</v>
      </c>
      <c r="B122" s="95" t="s">
        <v>342</v>
      </c>
      <c r="C122" s="95"/>
      <c r="D122" s="95"/>
      <c r="E122" s="95"/>
      <c r="F122" s="95"/>
      <c r="G122" s="95"/>
    </row>
    <row r="123" spans="1:7" s="51" customFormat="1" ht="27" customHeight="1">
      <c r="A123" s="49" t="s">
        <v>195</v>
      </c>
      <c r="B123" s="95" t="s">
        <v>343</v>
      </c>
      <c r="C123" s="95"/>
      <c r="D123" s="95"/>
      <c r="E123" s="95"/>
      <c r="F123" s="95"/>
      <c r="G123" s="95"/>
    </row>
    <row r="124" spans="1:7" s="51" customFormat="1" ht="13.5">
      <c r="A124" s="96" t="s">
        <v>226</v>
      </c>
      <c r="B124" s="96"/>
      <c r="C124" s="96"/>
      <c r="D124" s="96"/>
      <c r="E124" s="96"/>
      <c r="F124" s="96"/>
      <c r="G124" s="96"/>
    </row>
    <row r="125" spans="1:7" s="51" customFormat="1" ht="13.5">
      <c r="A125" s="90" t="s">
        <v>289</v>
      </c>
      <c r="B125" s="90"/>
      <c r="C125" s="90"/>
      <c r="D125" s="90"/>
      <c r="E125" s="90"/>
      <c r="F125" s="90"/>
      <c r="G125" s="90"/>
    </row>
    <row r="126" spans="1:7" s="51" customFormat="1" ht="13.5">
      <c r="A126" s="49" t="s">
        <v>227</v>
      </c>
      <c r="B126" s="91" t="s">
        <v>344</v>
      </c>
      <c r="C126" s="91"/>
      <c r="D126" s="91"/>
      <c r="E126" s="91"/>
      <c r="F126" s="91"/>
      <c r="G126" s="91"/>
    </row>
    <row r="127" spans="1:7" s="51" customFormat="1" ht="13.5">
      <c r="A127" s="90" t="s">
        <v>299</v>
      </c>
      <c r="B127" s="90"/>
      <c r="C127" s="90"/>
      <c r="D127" s="90"/>
      <c r="E127" s="90"/>
      <c r="F127" s="90"/>
      <c r="G127" s="90"/>
    </row>
    <row r="128" spans="1:7" s="51" customFormat="1" ht="13.5">
      <c r="A128" s="49" t="s">
        <v>227</v>
      </c>
      <c r="B128" s="91" t="s">
        <v>345</v>
      </c>
      <c r="C128" s="91"/>
      <c r="D128" s="91"/>
      <c r="E128" s="91"/>
      <c r="F128" s="91"/>
      <c r="G128" s="91"/>
    </row>
    <row r="129" spans="1:7" s="51" customFormat="1" ht="13.5">
      <c r="A129" s="90"/>
      <c r="B129" s="90"/>
      <c r="C129" s="90"/>
      <c r="D129" s="90"/>
      <c r="E129" s="90"/>
      <c r="F129" s="90"/>
      <c r="G129" s="90"/>
    </row>
    <row r="130" spans="1:7" s="51" customFormat="1" ht="27" customHeight="1">
      <c r="A130" s="196" t="s">
        <v>229</v>
      </c>
      <c r="B130" s="197"/>
      <c r="C130" s="197"/>
      <c r="D130" s="197"/>
      <c r="E130" s="197"/>
      <c r="F130" s="197"/>
      <c r="G130" s="197"/>
    </row>
  </sheetData>
  <sheetProtection/>
  <mergeCells count="207">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G37"/>
    <mergeCell ref="A38:E38"/>
    <mergeCell ref="F38:G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B81:G81"/>
    <mergeCell ref="B82:G82"/>
    <mergeCell ref="B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B122:G122"/>
    <mergeCell ref="B123:G123"/>
    <mergeCell ref="A124:G124"/>
    <mergeCell ref="A116:G116"/>
    <mergeCell ref="B117:G117"/>
    <mergeCell ref="B118:G118"/>
    <mergeCell ref="B119:G119"/>
    <mergeCell ref="A120:G120"/>
    <mergeCell ref="B121:G121"/>
    <mergeCell ref="A129:G129"/>
    <mergeCell ref="A130:G130"/>
    <mergeCell ref="B128:G128"/>
    <mergeCell ref="A125:G125"/>
    <mergeCell ref="B126:G126"/>
    <mergeCell ref="A127:G127"/>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2" manualBreakCount="2">
    <brk id="91" max="255" man="1"/>
    <brk id="119" max="255" man="1"/>
  </rowBreaks>
</worksheet>
</file>

<file path=xl/worksheets/sheet16.xml><?xml version="1.0" encoding="utf-8"?>
<worksheet xmlns="http://schemas.openxmlformats.org/spreadsheetml/2006/main" xmlns:r="http://schemas.openxmlformats.org/officeDocument/2006/relationships">
  <dimension ref="A1:G162"/>
  <sheetViews>
    <sheetView showGridLines="0" tabSelected="1" view="pageBreakPreview" zoomScale="70" zoomScaleSheetLayoutView="70" zoomScalePageLayoutView="0" workbookViewId="0" topLeftCell="A136">
      <selection activeCell="A29" sqref="A29:A30"/>
    </sheetView>
  </sheetViews>
  <sheetFormatPr defaultColWidth="11.421875" defaultRowHeight="15"/>
  <cols>
    <col min="1" max="3" width="45.7109375" style="38" customWidth="1"/>
    <col min="4" max="4" width="17.140625" style="38" customWidth="1"/>
    <col min="5" max="5" width="25.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275</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1749</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426</v>
      </c>
      <c r="B13" s="166"/>
      <c r="C13" s="166"/>
      <c r="D13" s="166"/>
      <c r="E13" s="166"/>
      <c r="F13" s="166"/>
      <c r="G13" s="167"/>
    </row>
    <row r="14" spans="1:7" ht="16.5">
      <c r="A14" s="39"/>
      <c r="B14" s="163" t="s">
        <v>98</v>
      </c>
      <c r="C14" s="163"/>
      <c r="D14" s="163"/>
      <c r="E14" s="163"/>
      <c r="F14" s="163"/>
      <c r="G14" s="164"/>
    </row>
    <row r="15" spans="1:7" ht="15.75">
      <c r="A15" s="40"/>
      <c r="B15" s="182" t="s">
        <v>1373</v>
      </c>
      <c r="C15" s="182"/>
      <c r="D15" s="182"/>
      <c r="E15" s="182"/>
      <c r="F15" s="182"/>
      <c r="G15" s="183"/>
    </row>
    <row r="16" spans="1:7" ht="15.75">
      <c r="A16" s="115" t="s">
        <v>100</v>
      </c>
      <c r="B16" s="115"/>
      <c r="C16" s="115"/>
      <c r="D16" s="115"/>
      <c r="E16" s="115"/>
      <c r="F16" s="115"/>
      <c r="G16" s="115"/>
    </row>
    <row r="17" spans="1:7" ht="15.75">
      <c r="A17" s="110" t="s">
        <v>101</v>
      </c>
      <c r="B17" s="111"/>
      <c r="C17" s="208" t="s">
        <v>102</v>
      </c>
      <c r="D17" s="209"/>
      <c r="E17" s="209"/>
      <c r="F17" s="209"/>
      <c r="G17" s="210"/>
    </row>
    <row r="18" spans="1:7" ht="15.75">
      <c r="A18" s="110" t="s">
        <v>103</v>
      </c>
      <c r="B18" s="111"/>
      <c r="C18" s="208" t="s">
        <v>104</v>
      </c>
      <c r="D18" s="209"/>
      <c r="E18" s="209"/>
      <c r="F18" s="209"/>
      <c r="G18" s="210"/>
    </row>
    <row r="19" spans="1:7" ht="15.75">
      <c r="A19" s="110" t="s">
        <v>105</v>
      </c>
      <c r="B19" s="111"/>
      <c r="C19" s="208" t="s">
        <v>106</v>
      </c>
      <c r="D19" s="209"/>
      <c r="E19" s="209"/>
      <c r="F19" s="209"/>
      <c r="G19" s="210"/>
    </row>
    <row r="20" spans="1:7" ht="15.75">
      <c r="A20" s="110" t="s">
        <v>107</v>
      </c>
      <c r="B20" s="111"/>
      <c r="C20" s="208" t="s">
        <v>108</v>
      </c>
      <c r="D20" s="209"/>
      <c r="E20" s="209"/>
      <c r="F20" s="209"/>
      <c r="G20" s="210"/>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'E002'!B17</f>
        <v>185.189071</v>
      </c>
      <c r="F24" s="43">
        <f>'E002'!C17</f>
        <v>142.66509749000002</v>
      </c>
      <c r="G24" s="44">
        <f>F24/E24</f>
        <v>0.7703753613516426</v>
      </c>
    </row>
    <row r="25" spans="1:7" ht="15.75">
      <c r="A25" s="123" t="s">
        <v>114</v>
      </c>
      <c r="B25" s="124"/>
      <c r="C25" s="124"/>
      <c r="D25" s="125"/>
      <c r="E25" s="43">
        <f>'E002'!B18</f>
        <v>142.66509749</v>
      </c>
      <c r="F25" s="43">
        <f>'E002'!C18</f>
        <v>142.66509749000002</v>
      </c>
      <c r="G25" s="44">
        <f>F25/E25</f>
        <v>1.0000000000000002</v>
      </c>
    </row>
    <row r="26" spans="1:7" ht="15.75">
      <c r="A26" s="107" t="s">
        <v>115</v>
      </c>
      <c r="B26" s="108"/>
      <c r="C26" s="108"/>
      <c r="D26" s="108"/>
      <c r="E26" s="108"/>
      <c r="F26" s="108"/>
      <c r="G26" s="109"/>
    </row>
    <row r="27" spans="1:7" ht="15.75">
      <c r="A27" s="107" t="s">
        <v>116</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t="s">
        <v>39</v>
      </c>
    </row>
    <row r="30" spans="1:7" ht="15.75">
      <c r="A30" s="105"/>
      <c r="B30" s="105"/>
      <c r="C30" s="105"/>
      <c r="D30" s="105"/>
      <c r="E30" s="105"/>
      <c r="F30" s="45" t="s">
        <v>124</v>
      </c>
      <c r="G30" s="46" t="s">
        <v>39</v>
      </c>
    </row>
    <row r="31" spans="1:7" ht="47.25" customHeight="1">
      <c r="A31" s="100" t="s">
        <v>1750</v>
      </c>
      <c r="B31" s="100" t="s">
        <v>1751</v>
      </c>
      <c r="C31" s="100" t="s">
        <v>1752</v>
      </c>
      <c r="D31" s="102" t="s">
        <v>128</v>
      </c>
      <c r="E31" s="102" t="s">
        <v>286</v>
      </c>
      <c r="F31" s="45" t="s">
        <v>130</v>
      </c>
      <c r="G31" s="47" t="s">
        <v>39</v>
      </c>
    </row>
    <row r="32" spans="1:7" ht="47.25" customHeight="1">
      <c r="A32" s="101"/>
      <c r="B32" s="101"/>
      <c r="C32" s="101"/>
      <c r="D32" s="103"/>
      <c r="E32" s="103"/>
      <c r="F32" s="45" t="s">
        <v>131</v>
      </c>
      <c r="G32" s="47" t="s">
        <v>39</v>
      </c>
    </row>
    <row r="33" spans="1:7" ht="15.75" customHeight="1">
      <c r="A33" s="104" t="s">
        <v>119</v>
      </c>
      <c r="B33" s="104" t="s">
        <v>120</v>
      </c>
      <c r="C33" s="104" t="s">
        <v>65</v>
      </c>
      <c r="D33" s="104" t="s">
        <v>121</v>
      </c>
      <c r="E33" s="104" t="s">
        <v>122</v>
      </c>
      <c r="F33" s="45" t="s">
        <v>123</v>
      </c>
      <c r="G33" s="46">
        <v>0.1</v>
      </c>
    </row>
    <row r="34" spans="1:7" ht="15.75">
      <c r="A34" s="105"/>
      <c r="B34" s="105"/>
      <c r="C34" s="105"/>
      <c r="D34" s="105"/>
      <c r="E34" s="105"/>
      <c r="F34" s="45" t="s">
        <v>124</v>
      </c>
      <c r="G34" s="46">
        <v>0.1</v>
      </c>
    </row>
    <row r="35" spans="1:7" ht="51.75" customHeight="1">
      <c r="A35" s="100" t="s">
        <v>1753</v>
      </c>
      <c r="B35" s="100" t="s">
        <v>1751</v>
      </c>
      <c r="C35" s="100" t="s">
        <v>1754</v>
      </c>
      <c r="D35" s="102" t="s">
        <v>1755</v>
      </c>
      <c r="E35" s="102" t="s">
        <v>286</v>
      </c>
      <c r="F35" s="45" t="s">
        <v>130</v>
      </c>
      <c r="G35" s="47">
        <f>(0.3036+0.0904)/2</f>
        <v>0.19699999999999998</v>
      </c>
    </row>
    <row r="36" spans="1:7" ht="51.75" customHeight="1">
      <c r="A36" s="101"/>
      <c r="B36" s="101"/>
      <c r="C36" s="101"/>
      <c r="D36" s="103"/>
      <c r="E36" s="103"/>
      <c r="F36" s="45" t="s">
        <v>131</v>
      </c>
      <c r="G36" s="47">
        <v>196.99999999999997</v>
      </c>
    </row>
    <row r="37" spans="1:7" ht="15.75">
      <c r="A37" s="96" t="s">
        <v>230</v>
      </c>
      <c r="B37" s="96"/>
      <c r="C37" s="96"/>
      <c r="D37" s="96"/>
      <c r="E37" s="96"/>
      <c r="F37" s="96"/>
      <c r="G37" s="96"/>
    </row>
    <row r="38" spans="1:7" ht="15.75">
      <c r="A38" s="106" t="s">
        <v>117</v>
      </c>
      <c r="B38" s="106"/>
      <c r="C38" s="106"/>
      <c r="D38" s="106"/>
      <c r="E38" s="106"/>
      <c r="F38" s="106" t="s">
        <v>118</v>
      </c>
      <c r="G38" s="106"/>
    </row>
    <row r="39" spans="1:7" ht="15.75" customHeight="1">
      <c r="A39" s="104" t="s">
        <v>119</v>
      </c>
      <c r="B39" s="104" t="s">
        <v>120</v>
      </c>
      <c r="C39" s="104" t="s">
        <v>65</v>
      </c>
      <c r="D39" s="104" t="s">
        <v>121</v>
      </c>
      <c r="E39" s="104" t="s">
        <v>122</v>
      </c>
      <c r="F39" s="45" t="s">
        <v>123</v>
      </c>
      <c r="G39" s="46">
        <v>0.41</v>
      </c>
    </row>
    <row r="40" spans="1:7" ht="15.75">
      <c r="A40" s="105"/>
      <c r="B40" s="105"/>
      <c r="C40" s="105"/>
      <c r="D40" s="105"/>
      <c r="E40" s="105"/>
      <c r="F40" s="45" t="s">
        <v>124</v>
      </c>
      <c r="G40" s="46">
        <v>0.41</v>
      </c>
    </row>
    <row r="41" spans="1:7" ht="45" customHeight="1">
      <c r="A41" s="100" t="s">
        <v>1756</v>
      </c>
      <c r="B41" s="100" t="s">
        <v>1757</v>
      </c>
      <c r="C41" s="207" t="s">
        <v>1758</v>
      </c>
      <c r="D41" s="102" t="s">
        <v>128</v>
      </c>
      <c r="E41" s="102" t="s">
        <v>292</v>
      </c>
      <c r="F41" s="45" t="s">
        <v>130</v>
      </c>
      <c r="G41" s="47">
        <f>(((246)/(171+171))*0.5636)</f>
        <v>0.4053964912280702</v>
      </c>
    </row>
    <row r="42" spans="1:7" ht="45" customHeight="1">
      <c r="A42" s="101"/>
      <c r="B42" s="101"/>
      <c r="C42" s="101"/>
      <c r="D42" s="103"/>
      <c r="E42" s="103"/>
      <c r="F42" s="45" t="s">
        <v>131</v>
      </c>
      <c r="G42" s="47">
        <v>99.03257142857143</v>
      </c>
    </row>
    <row r="43" spans="1:7" ht="15.75">
      <c r="A43" s="96" t="s">
        <v>231</v>
      </c>
      <c r="B43" s="96"/>
      <c r="C43" s="96"/>
      <c r="D43" s="96"/>
      <c r="E43" s="96"/>
      <c r="F43" s="96"/>
      <c r="G43" s="96"/>
    </row>
    <row r="44" spans="1:7" ht="15.75">
      <c r="A44" s="106" t="s">
        <v>117</v>
      </c>
      <c r="B44" s="106"/>
      <c r="C44" s="106"/>
      <c r="D44" s="106"/>
      <c r="E44" s="106"/>
      <c r="F44" s="106" t="s">
        <v>118</v>
      </c>
      <c r="G44" s="106"/>
    </row>
    <row r="45" spans="1:7" ht="15.75" customHeight="1">
      <c r="A45" s="104" t="s">
        <v>119</v>
      </c>
      <c r="B45" s="104" t="s">
        <v>120</v>
      </c>
      <c r="C45" s="104" t="s">
        <v>65</v>
      </c>
      <c r="D45" s="104" t="s">
        <v>121</v>
      </c>
      <c r="E45" s="104" t="s">
        <v>122</v>
      </c>
      <c r="F45" s="45" t="s">
        <v>123</v>
      </c>
      <c r="G45" s="46">
        <v>81.9</v>
      </c>
    </row>
    <row r="46" spans="1:7" ht="15.75">
      <c r="A46" s="105"/>
      <c r="B46" s="105"/>
      <c r="C46" s="105"/>
      <c r="D46" s="105"/>
      <c r="E46" s="105"/>
      <c r="F46" s="45" t="s">
        <v>124</v>
      </c>
      <c r="G46" s="46">
        <v>72.5</v>
      </c>
    </row>
    <row r="47" spans="1:7" ht="15.75" customHeight="1">
      <c r="A47" s="100" t="s">
        <v>1759</v>
      </c>
      <c r="B47" s="100" t="s">
        <v>1760</v>
      </c>
      <c r="C47" s="100" t="s">
        <v>1761</v>
      </c>
      <c r="D47" s="102" t="s">
        <v>5</v>
      </c>
      <c r="E47" s="102" t="s">
        <v>913</v>
      </c>
      <c r="F47" s="45" t="s">
        <v>130</v>
      </c>
      <c r="G47" s="47">
        <f>(118/171)*100</f>
        <v>69.00584795321637</v>
      </c>
    </row>
    <row r="48" spans="1:7" ht="27">
      <c r="A48" s="101"/>
      <c r="B48" s="101"/>
      <c r="C48" s="101"/>
      <c r="D48" s="103"/>
      <c r="E48" s="103"/>
      <c r="F48" s="45" t="s">
        <v>131</v>
      </c>
      <c r="G48" s="47">
        <v>95.18047993547086</v>
      </c>
    </row>
    <row r="49" spans="1:7" ht="15.75" customHeight="1">
      <c r="A49" s="104" t="s">
        <v>119</v>
      </c>
      <c r="B49" s="104" t="s">
        <v>120</v>
      </c>
      <c r="C49" s="104" t="s">
        <v>65</v>
      </c>
      <c r="D49" s="104" t="s">
        <v>121</v>
      </c>
      <c r="E49" s="104" t="s">
        <v>122</v>
      </c>
      <c r="F49" s="45" t="s">
        <v>123</v>
      </c>
      <c r="G49" s="46">
        <v>81.9</v>
      </c>
    </row>
    <row r="50" spans="1:7" ht="15.75">
      <c r="A50" s="105"/>
      <c r="B50" s="105"/>
      <c r="C50" s="105"/>
      <c r="D50" s="105"/>
      <c r="E50" s="105"/>
      <c r="F50" s="45" t="s">
        <v>124</v>
      </c>
      <c r="G50" s="46">
        <v>72.5</v>
      </c>
    </row>
    <row r="51" spans="1:7" ht="45" customHeight="1">
      <c r="A51" s="100" t="s">
        <v>1762</v>
      </c>
      <c r="B51" s="100" t="s">
        <v>1763</v>
      </c>
      <c r="C51" s="100" t="s">
        <v>1764</v>
      </c>
      <c r="D51" s="102" t="s">
        <v>5</v>
      </c>
      <c r="E51" s="102" t="s">
        <v>913</v>
      </c>
      <c r="F51" s="45" t="s">
        <v>130</v>
      </c>
      <c r="G51" s="47">
        <f>(128/171)*100</f>
        <v>74.85380116959064</v>
      </c>
    </row>
    <row r="52" spans="1:7" ht="45" customHeight="1">
      <c r="A52" s="101"/>
      <c r="B52" s="101"/>
      <c r="C52" s="101"/>
      <c r="D52" s="103"/>
      <c r="E52" s="103"/>
      <c r="F52" s="45" t="s">
        <v>131</v>
      </c>
      <c r="G52" s="47">
        <v>103.24662230288364</v>
      </c>
    </row>
    <row r="53" spans="1:7" ht="15.75">
      <c r="A53" s="96" t="s">
        <v>232</v>
      </c>
      <c r="B53" s="96"/>
      <c r="C53" s="96"/>
      <c r="D53" s="96"/>
      <c r="E53" s="96"/>
      <c r="F53" s="96"/>
      <c r="G53" s="96"/>
    </row>
    <row r="54" spans="1:7" ht="15.75">
      <c r="A54" s="106" t="s">
        <v>117</v>
      </c>
      <c r="B54" s="106"/>
      <c r="C54" s="106"/>
      <c r="D54" s="106"/>
      <c r="E54" s="106"/>
      <c r="F54" s="106" t="s">
        <v>118</v>
      </c>
      <c r="G54" s="106"/>
    </row>
    <row r="55" spans="1:7" ht="15.75" customHeight="1">
      <c r="A55" s="104" t="s">
        <v>119</v>
      </c>
      <c r="B55" s="104" t="s">
        <v>120</v>
      </c>
      <c r="C55" s="104" t="s">
        <v>65</v>
      </c>
      <c r="D55" s="104" t="s">
        <v>121</v>
      </c>
      <c r="E55" s="104" t="s">
        <v>122</v>
      </c>
      <c r="F55" s="45" t="s">
        <v>123</v>
      </c>
      <c r="G55" s="46">
        <v>1</v>
      </c>
    </row>
    <row r="56" spans="1:7" ht="15.75">
      <c r="A56" s="105"/>
      <c r="B56" s="105"/>
      <c r="C56" s="105"/>
      <c r="D56" s="105"/>
      <c r="E56" s="105"/>
      <c r="F56" s="45" t="s">
        <v>124</v>
      </c>
      <c r="G56" s="46">
        <v>1</v>
      </c>
    </row>
    <row r="57" spans="1:7" ht="38.25" customHeight="1">
      <c r="A57" s="100" t="s">
        <v>1765</v>
      </c>
      <c r="B57" s="100" t="s">
        <v>1766</v>
      </c>
      <c r="C57" s="100" t="s">
        <v>1767</v>
      </c>
      <c r="D57" s="102" t="s">
        <v>1768</v>
      </c>
      <c r="E57" s="102" t="s">
        <v>167</v>
      </c>
      <c r="F57" s="45" t="s">
        <v>130</v>
      </c>
      <c r="G57" s="47">
        <f>((4+7+7+6)/((9+14)+1)/1)</f>
        <v>1</v>
      </c>
    </row>
    <row r="58" spans="1:7" ht="38.25" customHeight="1">
      <c r="A58" s="101"/>
      <c r="B58" s="101"/>
      <c r="C58" s="101"/>
      <c r="D58" s="103"/>
      <c r="E58" s="103"/>
      <c r="F58" s="45" t="s">
        <v>131</v>
      </c>
      <c r="G58" s="47">
        <v>100</v>
      </c>
    </row>
    <row r="59" spans="1:7" ht="15.75" customHeight="1">
      <c r="A59" s="104" t="s">
        <v>119</v>
      </c>
      <c r="B59" s="104" t="s">
        <v>120</v>
      </c>
      <c r="C59" s="104" t="s">
        <v>65</v>
      </c>
      <c r="D59" s="104" t="s">
        <v>121</v>
      </c>
      <c r="E59" s="104" t="s">
        <v>122</v>
      </c>
      <c r="F59" s="45" t="s">
        <v>123</v>
      </c>
      <c r="G59" s="46">
        <v>1</v>
      </c>
    </row>
    <row r="60" spans="1:7" ht="15.75">
      <c r="A60" s="105"/>
      <c r="B60" s="105"/>
      <c r="C60" s="105"/>
      <c r="D60" s="105"/>
      <c r="E60" s="105"/>
      <c r="F60" s="45" t="s">
        <v>124</v>
      </c>
      <c r="G60" s="46">
        <v>1</v>
      </c>
    </row>
    <row r="61" spans="1:7" ht="35.25" customHeight="1">
      <c r="A61" s="100" t="s">
        <v>1769</v>
      </c>
      <c r="B61" s="100" t="s">
        <v>1766</v>
      </c>
      <c r="C61" s="100" t="s">
        <v>1770</v>
      </c>
      <c r="D61" s="102" t="s">
        <v>1768</v>
      </c>
      <c r="E61" s="102" t="s">
        <v>167</v>
      </c>
      <c r="F61" s="45" t="s">
        <v>130</v>
      </c>
      <c r="G61" s="47">
        <f>((3+6+8+6)/((9+12)+2)/1)</f>
        <v>1</v>
      </c>
    </row>
    <row r="62" spans="1:7" ht="35.25" customHeight="1">
      <c r="A62" s="101"/>
      <c r="B62" s="101"/>
      <c r="C62" s="101"/>
      <c r="D62" s="103"/>
      <c r="E62" s="103"/>
      <c r="F62" s="45" t="s">
        <v>131</v>
      </c>
      <c r="G62" s="47">
        <v>100</v>
      </c>
    </row>
    <row r="63" spans="1:7" ht="15.75" customHeight="1">
      <c r="A63" s="104" t="s">
        <v>119</v>
      </c>
      <c r="B63" s="104" t="s">
        <v>120</v>
      </c>
      <c r="C63" s="104" t="s">
        <v>65</v>
      </c>
      <c r="D63" s="104" t="s">
        <v>121</v>
      </c>
      <c r="E63" s="104" t="s">
        <v>122</v>
      </c>
      <c r="F63" s="45" t="s">
        <v>123</v>
      </c>
      <c r="G63" s="46">
        <v>1</v>
      </c>
    </row>
    <row r="64" spans="1:7" ht="15.75">
      <c r="A64" s="105"/>
      <c r="B64" s="105"/>
      <c r="C64" s="105"/>
      <c r="D64" s="105"/>
      <c r="E64" s="105"/>
      <c r="F64" s="45" t="s">
        <v>124</v>
      </c>
      <c r="G64" s="46">
        <v>1</v>
      </c>
    </row>
    <row r="65" spans="1:7" ht="31.5" customHeight="1">
      <c r="A65" s="100" t="s">
        <v>1771</v>
      </c>
      <c r="B65" s="100" t="s">
        <v>1772</v>
      </c>
      <c r="C65" s="100" t="s">
        <v>1773</v>
      </c>
      <c r="D65" s="102" t="s">
        <v>1768</v>
      </c>
      <c r="E65" s="102" t="s">
        <v>167</v>
      </c>
      <c r="F65" s="45" t="s">
        <v>130</v>
      </c>
      <c r="G65" s="47">
        <f>((20+20+20+20)/(80))/1</f>
        <v>1</v>
      </c>
    </row>
    <row r="66" spans="1:7" ht="31.5" customHeight="1">
      <c r="A66" s="101"/>
      <c r="B66" s="101"/>
      <c r="C66" s="101"/>
      <c r="D66" s="103"/>
      <c r="E66" s="103"/>
      <c r="F66" s="45" t="s">
        <v>131</v>
      </c>
      <c r="G66" s="47">
        <v>100</v>
      </c>
    </row>
    <row r="67" spans="1:7" ht="15.75" customHeight="1">
      <c r="A67" s="104" t="s">
        <v>119</v>
      </c>
      <c r="B67" s="104" t="s">
        <v>120</v>
      </c>
      <c r="C67" s="104" t="s">
        <v>65</v>
      </c>
      <c r="D67" s="104" t="s">
        <v>121</v>
      </c>
      <c r="E67" s="104" t="s">
        <v>122</v>
      </c>
      <c r="F67" s="45" t="s">
        <v>123</v>
      </c>
      <c r="G67" s="46">
        <v>1</v>
      </c>
    </row>
    <row r="68" spans="1:7" ht="15.75">
      <c r="A68" s="105"/>
      <c r="B68" s="105"/>
      <c r="C68" s="105"/>
      <c r="D68" s="105"/>
      <c r="E68" s="105"/>
      <c r="F68" s="45" t="s">
        <v>124</v>
      </c>
      <c r="G68" s="46">
        <v>1</v>
      </c>
    </row>
    <row r="69" spans="1:7" ht="37.5" customHeight="1">
      <c r="A69" s="100" t="s">
        <v>1774</v>
      </c>
      <c r="B69" s="100" t="s">
        <v>1772</v>
      </c>
      <c r="C69" s="100" t="s">
        <v>1775</v>
      </c>
      <c r="D69" s="102" t="s">
        <v>1768</v>
      </c>
      <c r="E69" s="102" t="s">
        <v>167</v>
      </c>
      <c r="F69" s="45" t="s">
        <v>130</v>
      </c>
      <c r="G69" s="47">
        <f>((20+20+20+20)/(80))/1</f>
        <v>1</v>
      </c>
    </row>
    <row r="70" spans="1:7" ht="37.5" customHeight="1">
      <c r="A70" s="101"/>
      <c r="B70" s="101"/>
      <c r="C70" s="101"/>
      <c r="D70" s="103"/>
      <c r="E70" s="103"/>
      <c r="F70" s="45" t="s">
        <v>131</v>
      </c>
      <c r="G70" s="47">
        <v>100</v>
      </c>
    </row>
    <row r="71" spans="1:7" ht="15.75" customHeight="1">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34.5" customHeight="1">
      <c r="A73" s="100" t="s">
        <v>1776</v>
      </c>
      <c r="B73" s="100" t="s">
        <v>1777</v>
      </c>
      <c r="C73" s="100" t="s">
        <v>1778</v>
      </c>
      <c r="D73" s="102" t="s">
        <v>5</v>
      </c>
      <c r="E73" s="102" t="s">
        <v>167</v>
      </c>
      <c r="F73" s="45" t="s">
        <v>130</v>
      </c>
      <c r="G73" s="47">
        <f>((3+10+7+8)/28)*100</f>
        <v>100</v>
      </c>
    </row>
    <row r="74" spans="1:7" ht="34.5" customHeight="1">
      <c r="A74" s="101"/>
      <c r="B74" s="101"/>
      <c r="C74" s="101"/>
      <c r="D74" s="103"/>
      <c r="E74" s="103"/>
      <c r="F74" s="45" t="s">
        <v>131</v>
      </c>
      <c r="G74" s="47">
        <v>100</v>
      </c>
    </row>
    <row r="75" spans="1:7" ht="15.75" customHeight="1">
      <c r="A75" s="104" t="s">
        <v>119</v>
      </c>
      <c r="B75" s="104" t="s">
        <v>120</v>
      </c>
      <c r="C75" s="104" t="s">
        <v>65</v>
      </c>
      <c r="D75" s="104" t="s">
        <v>121</v>
      </c>
      <c r="E75" s="104" t="s">
        <v>122</v>
      </c>
      <c r="F75" s="45" t="s">
        <v>123</v>
      </c>
      <c r="G75" s="46">
        <v>35.71</v>
      </c>
    </row>
    <row r="76" spans="1:7" ht="15.75">
      <c r="A76" s="105"/>
      <c r="B76" s="105"/>
      <c r="C76" s="105"/>
      <c r="D76" s="105"/>
      <c r="E76" s="105"/>
      <c r="F76" s="45" t="s">
        <v>124</v>
      </c>
      <c r="G76" s="46">
        <f>((15/(30+12)))*100</f>
        <v>35.714285714285715</v>
      </c>
    </row>
    <row r="77" spans="1:7" ht="15.75" customHeight="1">
      <c r="A77" s="100" t="s">
        <v>1779</v>
      </c>
      <c r="B77" s="100" t="s">
        <v>1777</v>
      </c>
      <c r="C77" s="100" t="s">
        <v>1780</v>
      </c>
      <c r="D77" s="102" t="s">
        <v>5</v>
      </c>
      <c r="E77" s="102" t="s">
        <v>167</v>
      </c>
      <c r="F77" s="45" t="s">
        <v>130</v>
      </c>
      <c r="G77" s="47">
        <f>((8+1+1+1)/(30+12))*100</f>
        <v>26.190476190476193</v>
      </c>
    </row>
    <row r="78" spans="1:7" ht="27">
      <c r="A78" s="101"/>
      <c r="B78" s="101"/>
      <c r="C78" s="101"/>
      <c r="D78" s="103"/>
      <c r="E78" s="103"/>
      <c r="F78" s="45" t="s">
        <v>131</v>
      </c>
      <c r="G78" s="47">
        <v>73.33333333333334</v>
      </c>
    </row>
    <row r="79" spans="1:7" ht="15.75" customHeight="1">
      <c r="A79" s="104" t="s">
        <v>119</v>
      </c>
      <c r="B79" s="104" t="s">
        <v>120</v>
      </c>
      <c r="C79" s="104" t="s">
        <v>65</v>
      </c>
      <c r="D79" s="104" t="s">
        <v>121</v>
      </c>
      <c r="E79" s="104" t="s">
        <v>122</v>
      </c>
      <c r="F79" s="45" t="s">
        <v>123</v>
      </c>
      <c r="G79" s="46">
        <v>59.5</v>
      </c>
    </row>
    <row r="80" spans="1:7" ht="15.75">
      <c r="A80" s="105"/>
      <c r="B80" s="105"/>
      <c r="C80" s="105"/>
      <c r="D80" s="105"/>
      <c r="E80" s="105"/>
      <c r="F80" s="45" t="s">
        <v>124</v>
      </c>
      <c r="G80" s="46">
        <f>((25)/(30+12))*100</f>
        <v>59.523809523809526</v>
      </c>
    </row>
    <row r="81" spans="1:7" ht="48.75" customHeight="1">
      <c r="A81" s="100" t="s">
        <v>1781</v>
      </c>
      <c r="B81" s="100" t="s">
        <v>1777</v>
      </c>
      <c r="C81" s="100" t="s">
        <v>1782</v>
      </c>
      <c r="D81" s="102" t="s">
        <v>5</v>
      </c>
      <c r="E81" s="102" t="s">
        <v>167</v>
      </c>
      <c r="F81" s="45" t="s">
        <v>130</v>
      </c>
      <c r="G81" s="47">
        <f>((3+8+10+5)/(30+12))*100</f>
        <v>61.904761904761905</v>
      </c>
    </row>
    <row r="82" spans="1:7" ht="48.75" customHeight="1">
      <c r="A82" s="101"/>
      <c r="B82" s="101"/>
      <c r="C82" s="101"/>
      <c r="D82" s="103"/>
      <c r="E82" s="103"/>
      <c r="F82" s="45" t="s">
        <v>131</v>
      </c>
      <c r="G82" s="47">
        <v>104</v>
      </c>
    </row>
    <row r="83" spans="1:7" ht="15.75" customHeight="1">
      <c r="A83" s="104" t="s">
        <v>119</v>
      </c>
      <c r="B83" s="104" t="s">
        <v>120</v>
      </c>
      <c r="C83" s="104" t="s">
        <v>65</v>
      </c>
      <c r="D83" s="104" t="s">
        <v>121</v>
      </c>
      <c r="E83" s="104" t="s">
        <v>122</v>
      </c>
      <c r="F83" s="45" t="s">
        <v>123</v>
      </c>
      <c r="G83" s="46">
        <v>100</v>
      </c>
    </row>
    <row r="84" spans="1:7" ht="15.75">
      <c r="A84" s="105"/>
      <c r="B84" s="105"/>
      <c r="C84" s="105"/>
      <c r="D84" s="105"/>
      <c r="E84" s="105"/>
      <c r="F84" s="45" t="s">
        <v>124</v>
      </c>
      <c r="G84" s="46">
        <v>100</v>
      </c>
    </row>
    <row r="85" spans="1:7" ht="39" customHeight="1">
      <c r="A85" s="100" t="s">
        <v>1783</v>
      </c>
      <c r="B85" s="100" t="s">
        <v>1784</v>
      </c>
      <c r="C85" s="100" t="s">
        <v>1785</v>
      </c>
      <c r="D85" s="102" t="s">
        <v>5</v>
      </c>
      <c r="E85" s="102" t="s">
        <v>167</v>
      </c>
      <c r="F85" s="45" t="s">
        <v>130</v>
      </c>
      <c r="G85" s="47">
        <f>((4+8+10+8)/30)*100</f>
        <v>100</v>
      </c>
    </row>
    <row r="86" spans="1:7" ht="39" customHeight="1">
      <c r="A86" s="101"/>
      <c r="B86" s="101"/>
      <c r="C86" s="101"/>
      <c r="D86" s="103"/>
      <c r="E86" s="103"/>
      <c r="F86" s="45" t="s">
        <v>131</v>
      </c>
      <c r="G86" s="47">
        <v>100</v>
      </c>
    </row>
    <row r="87" spans="1:7" ht="15.75" customHeight="1">
      <c r="A87" s="104" t="s">
        <v>119</v>
      </c>
      <c r="B87" s="104" t="s">
        <v>120</v>
      </c>
      <c r="C87" s="104" t="s">
        <v>65</v>
      </c>
      <c r="D87" s="104" t="s">
        <v>121</v>
      </c>
      <c r="E87" s="104" t="s">
        <v>122</v>
      </c>
      <c r="F87" s="45" t="s">
        <v>123</v>
      </c>
      <c r="G87" s="46">
        <v>100</v>
      </c>
    </row>
    <row r="88" spans="1:7" ht="15.75">
      <c r="A88" s="105"/>
      <c r="B88" s="105"/>
      <c r="C88" s="105"/>
      <c r="D88" s="105"/>
      <c r="E88" s="105"/>
      <c r="F88" s="45" t="s">
        <v>124</v>
      </c>
      <c r="G88" s="46">
        <v>100</v>
      </c>
    </row>
    <row r="89" spans="1:7" ht="36.75" customHeight="1">
      <c r="A89" s="100" t="s">
        <v>1786</v>
      </c>
      <c r="B89" s="100" t="s">
        <v>1787</v>
      </c>
      <c r="C89" s="100" t="s">
        <v>1788</v>
      </c>
      <c r="D89" s="102" t="s">
        <v>5</v>
      </c>
      <c r="E89" s="102" t="s">
        <v>167</v>
      </c>
      <c r="F89" s="45" t="s">
        <v>130</v>
      </c>
      <c r="G89" s="47">
        <f>((6+1+4+6)/35)*100</f>
        <v>48.57142857142857</v>
      </c>
    </row>
    <row r="90" spans="1:7" ht="36.75" customHeight="1">
      <c r="A90" s="101"/>
      <c r="B90" s="101"/>
      <c r="C90" s="101"/>
      <c r="D90" s="103"/>
      <c r="E90" s="103"/>
      <c r="F90" s="45" t="s">
        <v>131</v>
      </c>
      <c r="G90" s="47">
        <v>48.57142857142857</v>
      </c>
    </row>
    <row r="91" spans="1:7" ht="15.75">
      <c r="A91" s="96" t="s">
        <v>192</v>
      </c>
      <c r="B91" s="96"/>
      <c r="C91" s="96"/>
      <c r="D91" s="96"/>
      <c r="E91" s="96"/>
      <c r="F91" s="96"/>
      <c r="G91" s="96"/>
    </row>
    <row r="92" spans="1:7" ht="15.75">
      <c r="A92" s="99" t="str">
        <f>A31</f>
        <v>Índice de Gobierno Abierto </v>
      </c>
      <c r="B92" s="99"/>
      <c r="C92" s="99"/>
      <c r="D92" s="99"/>
      <c r="E92" s="99"/>
      <c r="F92" s="99"/>
      <c r="G92" s="99"/>
    </row>
    <row r="93" spans="1:7" ht="15.75">
      <c r="A93" s="48" t="s">
        <v>193</v>
      </c>
      <c r="B93" s="205" t="s">
        <v>323</v>
      </c>
      <c r="C93" s="205"/>
      <c r="D93" s="205"/>
      <c r="E93" s="205"/>
      <c r="F93" s="205"/>
      <c r="G93" s="205"/>
    </row>
    <row r="94" spans="1:7" ht="15.75">
      <c r="A94" s="49" t="s">
        <v>6</v>
      </c>
      <c r="B94" s="205" t="s">
        <v>323</v>
      </c>
      <c r="C94" s="205"/>
      <c r="D94" s="205"/>
      <c r="E94" s="205"/>
      <c r="F94" s="205"/>
      <c r="G94" s="205"/>
    </row>
    <row r="95" spans="1:7" ht="15.75">
      <c r="A95" s="49" t="s">
        <v>195</v>
      </c>
      <c r="B95" s="206"/>
      <c r="C95" s="206"/>
      <c r="D95" s="206"/>
      <c r="E95" s="206"/>
      <c r="F95" s="206"/>
      <c r="G95" s="206"/>
    </row>
    <row r="96" spans="1:7" ht="15.75">
      <c r="A96" s="147" t="str">
        <f>A35</f>
        <v>Tasa de variación de la calidad de las políticas y/o prácticas de apertura gubernamental y transparencia proactiva implementadas</v>
      </c>
      <c r="B96" s="148"/>
      <c r="C96" s="148"/>
      <c r="D96" s="148"/>
      <c r="E96" s="148"/>
      <c r="F96" s="148"/>
      <c r="G96" s="149"/>
    </row>
    <row r="97" spans="1:7" ht="39.75" customHeight="1">
      <c r="A97" s="49" t="s">
        <v>193</v>
      </c>
      <c r="B97" s="202" t="s">
        <v>1789</v>
      </c>
      <c r="C97" s="203"/>
      <c r="D97" s="203"/>
      <c r="E97" s="203"/>
      <c r="F97" s="203"/>
      <c r="G97" s="204"/>
    </row>
    <row r="98" spans="1:7" ht="15.75">
      <c r="A98" s="49" t="s">
        <v>6</v>
      </c>
      <c r="B98" s="202" t="s">
        <v>1790</v>
      </c>
      <c r="C98" s="203"/>
      <c r="D98" s="203"/>
      <c r="E98" s="203"/>
      <c r="F98" s="203"/>
      <c r="G98" s="204"/>
    </row>
    <row r="99" spans="1:7" ht="15.75">
      <c r="A99" s="49" t="s">
        <v>195</v>
      </c>
      <c r="B99" s="202"/>
      <c r="C99" s="203"/>
      <c r="D99" s="203"/>
      <c r="E99" s="203"/>
      <c r="F99" s="203"/>
      <c r="G99" s="204"/>
    </row>
    <row r="100" spans="1:7" ht="15.75">
      <c r="A100" s="147" t="str">
        <f>A41</f>
        <v>Índice de aplicación de las Políticas de Gobierno Abierto y Transparencia Proactiva</v>
      </c>
      <c r="B100" s="148"/>
      <c r="C100" s="148"/>
      <c r="D100" s="148"/>
      <c r="E100" s="148"/>
      <c r="F100" s="148"/>
      <c r="G100" s="149"/>
    </row>
    <row r="101" spans="1:7" ht="60" customHeight="1">
      <c r="A101" s="49" t="s">
        <v>193</v>
      </c>
      <c r="B101" s="202" t="s">
        <v>1791</v>
      </c>
      <c r="C101" s="203"/>
      <c r="D101" s="203"/>
      <c r="E101" s="203"/>
      <c r="F101" s="203"/>
      <c r="G101" s="204"/>
    </row>
    <row r="102" spans="1:7" ht="31.5" customHeight="1">
      <c r="A102" s="49" t="s">
        <v>6</v>
      </c>
      <c r="B102" s="202" t="s">
        <v>1792</v>
      </c>
      <c r="C102" s="203"/>
      <c r="D102" s="203"/>
      <c r="E102" s="203"/>
      <c r="F102" s="203"/>
      <c r="G102" s="204"/>
    </row>
    <row r="103" spans="1:7" ht="15.75">
      <c r="A103" s="49" t="s">
        <v>195</v>
      </c>
      <c r="B103" s="202"/>
      <c r="C103" s="203"/>
      <c r="D103" s="203"/>
      <c r="E103" s="203"/>
      <c r="F103" s="203"/>
      <c r="G103" s="204"/>
    </row>
    <row r="104" spans="1:7" ht="15.75">
      <c r="A104" s="147" t="str">
        <f>A47</f>
        <v>Porcentaje de instituciones con acciones implementadas de la Política de Gobierno Abierto</v>
      </c>
      <c r="B104" s="148"/>
      <c r="C104" s="148"/>
      <c r="D104" s="148"/>
      <c r="E104" s="148"/>
      <c r="F104" s="148"/>
      <c r="G104" s="149"/>
    </row>
    <row r="105" spans="1:7" ht="55.5" customHeight="1">
      <c r="A105" s="49" t="s">
        <v>193</v>
      </c>
      <c r="B105" s="202" t="s">
        <v>1793</v>
      </c>
      <c r="C105" s="203"/>
      <c r="D105" s="203"/>
      <c r="E105" s="203"/>
      <c r="F105" s="203"/>
      <c r="G105" s="204"/>
    </row>
    <row r="106" spans="1:7" ht="15.75">
      <c r="A106" s="49" t="s">
        <v>6</v>
      </c>
      <c r="B106" s="202" t="s">
        <v>1794</v>
      </c>
      <c r="C106" s="203"/>
      <c r="D106" s="203"/>
      <c r="E106" s="203"/>
      <c r="F106" s="203"/>
      <c r="G106" s="204"/>
    </row>
    <row r="107" spans="1:7" ht="15.75">
      <c r="A107" s="49" t="s">
        <v>195</v>
      </c>
      <c r="B107" s="202"/>
      <c r="C107" s="203"/>
      <c r="D107" s="203"/>
      <c r="E107" s="203"/>
      <c r="F107" s="203"/>
      <c r="G107" s="204"/>
    </row>
    <row r="108" spans="1:7" ht="31.5" customHeight="1">
      <c r="A108" s="147" t="str">
        <f>A51</f>
        <v>Porcentaje de instituciones con acciones implementadas de la Política de Transparencia Proactiva y/o de los Lineamientos para determinar los catálogos y publicación de información de interés público; y para la emisión y evaluación de políticas de transparencia proactiva</v>
      </c>
      <c r="B108" s="148"/>
      <c r="C108" s="148"/>
      <c r="D108" s="148"/>
      <c r="E108" s="148"/>
      <c r="F108" s="148"/>
      <c r="G108" s="149"/>
    </row>
    <row r="109" spans="1:7" ht="45" customHeight="1">
      <c r="A109" s="49" t="s">
        <v>193</v>
      </c>
      <c r="B109" s="202" t="s">
        <v>1795</v>
      </c>
      <c r="C109" s="203"/>
      <c r="D109" s="203"/>
      <c r="E109" s="203"/>
      <c r="F109" s="203"/>
      <c r="G109" s="204"/>
    </row>
    <row r="110" spans="1:7" ht="15.75">
      <c r="A110" s="49" t="s">
        <v>6</v>
      </c>
      <c r="B110" s="202" t="s">
        <v>1796</v>
      </c>
      <c r="C110" s="203"/>
      <c r="D110" s="203"/>
      <c r="E110" s="203"/>
      <c r="F110" s="203"/>
      <c r="G110" s="204"/>
    </row>
    <row r="111" spans="1:7" ht="15.75">
      <c r="A111" s="49" t="s">
        <v>195</v>
      </c>
      <c r="B111" s="202"/>
      <c r="C111" s="203"/>
      <c r="D111" s="203"/>
      <c r="E111" s="203"/>
      <c r="F111" s="203"/>
      <c r="G111" s="204"/>
    </row>
    <row r="112" spans="1:7" ht="15.75">
      <c r="A112" s="147" t="str">
        <f>A57</f>
        <v>Razón de cumplimiento de las acciones de sensibilización programadas y solicitadas en el periodo en materia de Gobierno Abierto con respecto al año base</v>
      </c>
      <c r="B112" s="148"/>
      <c r="C112" s="148"/>
      <c r="D112" s="148"/>
      <c r="E112" s="148"/>
      <c r="F112" s="148"/>
      <c r="G112" s="149"/>
    </row>
    <row r="113" spans="1:7" ht="31.5" customHeight="1">
      <c r="A113" s="49" t="s">
        <v>193</v>
      </c>
      <c r="B113" s="202" t="s">
        <v>1797</v>
      </c>
      <c r="C113" s="203"/>
      <c r="D113" s="203"/>
      <c r="E113" s="203"/>
      <c r="F113" s="203"/>
      <c r="G113" s="204"/>
    </row>
    <row r="114" spans="1:7" ht="15.75">
      <c r="A114" s="49" t="s">
        <v>6</v>
      </c>
      <c r="B114" s="202" t="s">
        <v>1798</v>
      </c>
      <c r="C114" s="203"/>
      <c r="D114" s="203"/>
      <c r="E114" s="203"/>
      <c r="F114" s="203"/>
      <c r="G114" s="204"/>
    </row>
    <row r="115" spans="1:7" ht="15.75">
      <c r="A115" s="49" t="s">
        <v>195</v>
      </c>
      <c r="B115" s="202"/>
      <c r="C115" s="203"/>
      <c r="D115" s="203"/>
      <c r="E115" s="203"/>
      <c r="F115" s="203"/>
      <c r="G115" s="204"/>
    </row>
    <row r="116" spans="1:7" ht="15.75">
      <c r="A116" s="147" t="str">
        <f>A61</f>
        <v>Razón de cumplimiento de las acciones de sensibilización programadas y solicitadas en el periodo en materia de Transparencia Proactiva con respecto al año base</v>
      </c>
      <c r="B116" s="148"/>
      <c r="C116" s="148"/>
      <c r="D116" s="148"/>
      <c r="E116" s="148"/>
      <c r="F116" s="148"/>
      <c r="G116" s="149"/>
    </row>
    <row r="117" spans="1:7" ht="31.5" customHeight="1">
      <c r="A117" s="49" t="s">
        <v>193</v>
      </c>
      <c r="B117" s="202" t="s">
        <v>1799</v>
      </c>
      <c r="C117" s="203"/>
      <c r="D117" s="203"/>
      <c r="E117" s="203"/>
      <c r="F117" s="203"/>
      <c r="G117" s="204"/>
    </row>
    <row r="118" spans="1:7" ht="15.75">
      <c r="A118" s="49" t="s">
        <v>6</v>
      </c>
      <c r="B118" s="202" t="s">
        <v>1798</v>
      </c>
      <c r="C118" s="203"/>
      <c r="D118" s="203"/>
      <c r="E118" s="203"/>
      <c r="F118" s="203"/>
      <c r="G118" s="204"/>
    </row>
    <row r="119" spans="1:7" ht="15.75">
      <c r="A119" s="49" t="s">
        <v>195</v>
      </c>
      <c r="B119" s="202"/>
      <c r="C119" s="203"/>
      <c r="D119" s="203"/>
      <c r="E119" s="203"/>
      <c r="F119" s="203"/>
      <c r="G119" s="204"/>
    </row>
    <row r="120" spans="1:7" ht="15.75">
      <c r="A120" s="147" t="str">
        <f>A65</f>
        <v>Razón de atención de las consultas recibidas en el periodo en materia de Gobierno Abierto con respecto al año base</v>
      </c>
      <c r="B120" s="148"/>
      <c r="C120" s="148"/>
      <c r="D120" s="148"/>
      <c r="E120" s="148"/>
      <c r="F120" s="148"/>
      <c r="G120" s="149"/>
    </row>
    <row r="121" spans="1:7" ht="31.5" customHeight="1">
      <c r="A121" s="49" t="s">
        <v>193</v>
      </c>
      <c r="B121" s="202" t="s">
        <v>1800</v>
      </c>
      <c r="C121" s="203"/>
      <c r="D121" s="203"/>
      <c r="E121" s="203"/>
      <c r="F121" s="203"/>
      <c r="G121" s="204"/>
    </row>
    <row r="122" spans="1:7" ht="15.75">
      <c r="A122" s="49" t="s">
        <v>6</v>
      </c>
      <c r="B122" s="202" t="s">
        <v>1798</v>
      </c>
      <c r="C122" s="203"/>
      <c r="D122" s="203"/>
      <c r="E122" s="203"/>
      <c r="F122" s="203"/>
      <c r="G122" s="204"/>
    </row>
    <row r="123" spans="1:7" ht="15.75">
      <c r="A123" s="49" t="s">
        <v>195</v>
      </c>
      <c r="B123" s="202"/>
      <c r="C123" s="203"/>
      <c r="D123" s="203"/>
      <c r="E123" s="203"/>
      <c r="F123" s="203"/>
      <c r="G123" s="204"/>
    </row>
    <row r="124" spans="1:7" ht="15.75">
      <c r="A124" s="147" t="str">
        <f>A69</f>
        <v>Razón de atención de las consultas recibidas en el periodo en materia de Transparencia Proactiva con respecto al año base</v>
      </c>
      <c r="B124" s="148"/>
      <c r="C124" s="148"/>
      <c r="D124" s="148"/>
      <c r="E124" s="148"/>
      <c r="F124" s="148"/>
      <c r="G124" s="149"/>
    </row>
    <row r="125" spans="1:7" ht="31.5" customHeight="1">
      <c r="A125" s="49" t="s">
        <v>193</v>
      </c>
      <c r="B125" s="202" t="s">
        <v>1800</v>
      </c>
      <c r="C125" s="203"/>
      <c r="D125" s="203"/>
      <c r="E125" s="203"/>
      <c r="F125" s="203"/>
      <c r="G125" s="204"/>
    </row>
    <row r="126" spans="1:7" ht="15.75">
      <c r="A126" s="49" t="s">
        <v>6</v>
      </c>
      <c r="B126" s="202" t="s">
        <v>1798</v>
      </c>
      <c r="C126" s="203"/>
      <c r="D126" s="203"/>
      <c r="E126" s="203"/>
      <c r="F126" s="203"/>
      <c r="G126" s="204"/>
    </row>
    <row r="127" spans="1:7" ht="15.75">
      <c r="A127" s="49" t="s">
        <v>195</v>
      </c>
      <c r="B127" s="202"/>
      <c r="C127" s="203"/>
      <c r="D127" s="203"/>
      <c r="E127" s="203"/>
      <c r="F127" s="203"/>
      <c r="G127" s="204"/>
    </row>
    <row r="128" spans="1:7" ht="15.75">
      <c r="A128" s="147" t="str">
        <f>A73</f>
        <v>Porcentaje de acciones verificadas del proyecto de gobierno abierto desde lo local.</v>
      </c>
      <c r="B128" s="148"/>
      <c r="C128" s="148"/>
      <c r="D128" s="148"/>
      <c r="E128" s="148"/>
      <c r="F128" s="148"/>
      <c r="G128" s="149"/>
    </row>
    <row r="129" spans="1:7" ht="31.5" customHeight="1">
      <c r="A129" s="49" t="s">
        <v>193</v>
      </c>
      <c r="B129" s="202" t="s">
        <v>1801</v>
      </c>
      <c r="C129" s="203"/>
      <c r="D129" s="203"/>
      <c r="E129" s="203"/>
      <c r="F129" s="203"/>
      <c r="G129" s="204"/>
    </row>
    <row r="130" spans="1:7" ht="15.75">
      <c r="A130" s="49" t="s">
        <v>6</v>
      </c>
      <c r="B130" s="202" t="s">
        <v>1798</v>
      </c>
      <c r="C130" s="203"/>
      <c r="D130" s="203"/>
      <c r="E130" s="203"/>
      <c r="F130" s="203"/>
      <c r="G130" s="204"/>
    </row>
    <row r="131" spans="1:7" ht="15.75">
      <c r="A131" s="49" t="s">
        <v>195</v>
      </c>
      <c r="B131" s="202"/>
      <c r="C131" s="203"/>
      <c r="D131" s="203"/>
      <c r="E131" s="203"/>
      <c r="F131" s="203"/>
      <c r="G131" s="204"/>
    </row>
    <row r="132" spans="1:7" ht="15.75">
      <c r="A132" s="147" t="str">
        <f>A77</f>
        <v>Porcentaje de avance en la generación de los compromisos en los proyectos en materia de gobierno abierto.</v>
      </c>
      <c r="B132" s="148"/>
      <c r="C132" s="148"/>
      <c r="D132" s="148"/>
      <c r="E132" s="148"/>
      <c r="F132" s="148"/>
      <c r="G132" s="149"/>
    </row>
    <row r="133" spans="1:7" ht="31.5" customHeight="1">
      <c r="A133" s="49" t="s">
        <v>193</v>
      </c>
      <c r="B133" s="202" t="s">
        <v>1802</v>
      </c>
      <c r="C133" s="203"/>
      <c r="D133" s="203"/>
      <c r="E133" s="203"/>
      <c r="F133" s="203"/>
      <c r="G133" s="204"/>
    </row>
    <row r="134" spans="1:7" ht="15.75">
      <c r="A134" s="49" t="s">
        <v>6</v>
      </c>
      <c r="B134" s="202" t="s">
        <v>1803</v>
      </c>
      <c r="C134" s="203"/>
      <c r="D134" s="203"/>
      <c r="E134" s="203"/>
      <c r="F134" s="203"/>
      <c r="G134" s="204"/>
    </row>
    <row r="135" spans="1:7" ht="15.75">
      <c r="A135" s="49" t="s">
        <v>195</v>
      </c>
      <c r="B135" s="202"/>
      <c r="C135" s="203"/>
      <c r="D135" s="203"/>
      <c r="E135" s="203"/>
      <c r="F135" s="203"/>
      <c r="G135" s="204"/>
    </row>
    <row r="136" spans="1:7" ht="15.75">
      <c r="A136" s="147" t="str">
        <f>A81</f>
        <v>Porcentaje de avance en la generación de compromisos y acciones de conocimiento público en los proyectos de gobierno abierto y/o transparencia proactiva.</v>
      </c>
      <c r="B136" s="148"/>
      <c r="C136" s="148"/>
      <c r="D136" s="148"/>
      <c r="E136" s="148"/>
      <c r="F136" s="148"/>
      <c r="G136" s="149"/>
    </row>
    <row r="137" spans="1:7" ht="42" customHeight="1">
      <c r="A137" s="49" t="s">
        <v>193</v>
      </c>
      <c r="B137" s="202" t="s">
        <v>1804</v>
      </c>
      <c r="C137" s="203"/>
      <c r="D137" s="203"/>
      <c r="E137" s="203"/>
      <c r="F137" s="203"/>
      <c r="G137" s="204"/>
    </row>
    <row r="138" spans="1:7" ht="15.75">
      <c r="A138" s="49" t="s">
        <v>6</v>
      </c>
      <c r="B138" s="202" t="s">
        <v>1805</v>
      </c>
      <c r="C138" s="203"/>
      <c r="D138" s="203"/>
      <c r="E138" s="203"/>
      <c r="F138" s="203"/>
      <c r="G138" s="204"/>
    </row>
    <row r="139" spans="1:7" ht="15.75">
      <c r="A139" s="49" t="s">
        <v>195</v>
      </c>
      <c r="B139" s="202"/>
      <c r="C139" s="203"/>
      <c r="D139" s="203"/>
      <c r="E139" s="203"/>
      <c r="F139" s="203"/>
      <c r="G139" s="204"/>
    </row>
    <row r="140" spans="1:7" ht="15.75">
      <c r="A140" s="147" t="str">
        <f>A85</f>
        <v>Porcentaje de reportes, guías y herramientas derivadas de las Políticas de Gobierno Abierto y Transparencia Proactiva elaboradas con respecto a las programadas</v>
      </c>
      <c r="B140" s="148"/>
      <c r="C140" s="148"/>
      <c r="D140" s="148"/>
      <c r="E140" s="148"/>
      <c r="F140" s="148"/>
      <c r="G140" s="149"/>
    </row>
    <row r="141" spans="1:7" ht="31.5" customHeight="1">
      <c r="A141" s="49" t="s">
        <v>193</v>
      </c>
      <c r="B141" s="202" t="s">
        <v>1806</v>
      </c>
      <c r="C141" s="203"/>
      <c r="D141" s="203"/>
      <c r="E141" s="203"/>
      <c r="F141" s="203"/>
      <c r="G141" s="204"/>
    </row>
    <row r="142" spans="1:7" ht="15.75">
      <c r="A142" s="49" t="s">
        <v>6</v>
      </c>
      <c r="B142" s="202" t="s">
        <v>1807</v>
      </c>
      <c r="C142" s="203"/>
      <c r="D142" s="203"/>
      <c r="E142" s="203"/>
      <c r="F142" s="203"/>
      <c r="G142" s="204"/>
    </row>
    <row r="143" spans="1:7" ht="15.75">
      <c r="A143" s="49" t="s">
        <v>195</v>
      </c>
      <c r="B143" s="202"/>
      <c r="C143" s="203"/>
      <c r="D143" s="203"/>
      <c r="E143" s="203"/>
      <c r="F143" s="203"/>
      <c r="G143" s="204"/>
    </row>
    <row r="144" spans="1:7" ht="15.75">
      <c r="A144" s="147" t="str">
        <f>A89</f>
        <v>Porcentaje de acciones realizadas en el marco de la participación del INAI en la Alianza para el Gobierno Abierto.</v>
      </c>
      <c r="B144" s="148"/>
      <c r="C144" s="148"/>
      <c r="D144" s="148"/>
      <c r="E144" s="148"/>
      <c r="F144" s="148"/>
      <c r="G144" s="149"/>
    </row>
    <row r="145" spans="1:7" ht="31.5" customHeight="1">
      <c r="A145" s="49" t="s">
        <v>193</v>
      </c>
      <c r="B145" s="202" t="s">
        <v>1808</v>
      </c>
      <c r="C145" s="203"/>
      <c r="D145" s="203"/>
      <c r="E145" s="203"/>
      <c r="F145" s="203"/>
      <c r="G145" s="204"/>
    </row>
    <row r="146" spans="1:7" ht="15.75">
      <c r="A146" s="49" t="s">
        <v>6</v>
      </c>
      <c r="B146" s="202" t="s">
        <v>1809</v>
      </c>
      <c r="C146" s="203"/>
      <c r="D146" s="203"/>
      <c r="E146" s="203"/>
      <c r="F146" s="203"/>
      <c r="G146" s="204"/>
    </row>
    <row r="147" spans="1:7" ht="15.75">
      <c r="A147" s="49" t="s">
        <v>195</v>
      </c>
      <c r="B147" s="202"/>
      <c r="C147" s="203"/>
      <c r="D147" s="203"/>
      <c r="E147" s="203"/>
      <c r="F147" s="203"/>
      <c r="G147" s="204"/>
    </row>
    <row r="148" spans="1:7" ht="15.75">
      <c r="A148" s="146"/>
      <c r="B148" s="146"/>
      <c r="C148" s="146"/>
      <c r="D148" s="146"/>
      <c r="E148" s="146"/>
      <c r="F148" s="146"/>
      <c r="G148" s="146"/>
    </row>
    <row r="149" spans="1:7" ht="15.75">
      <c r="A149" s="96" t="s">
        <v>226</v>
      </c>
      <c r="B149" s="96"/>
      <c r="C149" s="96"/>
      <c r="D149" s="96"/>
      <c r="E149" s="96"/>
      <c r="F149" s="96"/>
      <c r="G149" s="96"/>
    </row>
    <row r="150" spans="1:7" ht="15.75">
      <c r="A150" s="90" t="s">
        <v>1750</v>
      </c>
      <c r="B150" s="90"/>
      <c r="C150" s="90"/>
      <c r="D150" s="90"/>
      <c r="E150" s="90"/>
      <c r="F150" s="90"/>
      <c r="G150" s="90"/>
    </row>
    <row r="151" spans="1:7" ht="15.75">
      <c r="A151" s="49" t="s">
        <v>227</v>
      </c>
      <c r="B151" s="91" t="s">
        <v>1810</v>
      </c>
      <c r="C151" s="91"/>
      <c r="D151" s="91"/>
      <c r="E151" s="91"/>
      <c r="F151" s="91"/>
      <c r="G151" s="91"/>
    </row>
    <row r="152" spans="1:7" ht="15.75">
      <c r="A152" s="90" t="s">
        <v>1759</v>
      </c>
      <c r="B152" s="90"/>
      <c r="C152" s="90"/>
      <c r="D152" s="90"/>
      <c r="E152" s="90"/>
      <c r="F152" s="90"/>
      <c r="G152" s="90"/>
    </row>
    <row r="153" spans="1:7" ht="31.5" customHeight="1">
      <c r="A153" s="49" t="s">
        <v>227</v>
      </c>
      <c r="B153" s="91" t="s">
        <v>1811</v>
      </c>
      <c r="C153" s="91"/>
      <c r="D153" s="91"/>
      <c r="E153" s="91"/>
      <c r="F153" s="91"/>
      <c r="G153" s="91"/>
    </row>
    <row r="154" spans="1:7" ht="31.5" customHeight="1">
      <c r="A154" s="90" t="s">
        <v>1762</v>
      </c>
      <c r="B154" s="90"/>
      <c r="C154" s="90"/>
      <c r="D154" s="90"/>
      <c r="E154" s="90"/>
      <c r="F154" s="90"/>
      <c r="G154" s="90"/>
    </row>
    <row r="155" spans="1:7" ht="31.5" customHeight="1">
      <c r="A155" s="49" t="s">
        <v>227</v>
      </c>
      <c r="B155" s="91" t="s">
        <v>1812</v>
      </c>
      <c r="C155" s="91"/>
      <c r="D155" s="91"/>
      <c r="E155" s="91"/>
      <c r="F155" s="91"/>
      <c r="G155" s="91"/>
    </row>
    <row r="156" spans="1:7" ht="15.75">
      <c r="A156" s="90" t="s">
        <v>1765</v>
      </c>
      <c r="B156" s="90"/>
      <c r="C156" s="90"/>
      <c r="D156" s="90"/>
      <c r="E156" s="90"/>
      <c r="F156" s="90"/>
      <c r="G156" s="90"/>
    </row>
    <row r="157" spans="1:7" ht="31.5" customHeight="1">
      <c r="A157" s="49" t="s">
        <v>227</v>
      </c>
      <c r="B157" s="91" t="s">
        <v>1813</v>
      </c>
      <c r="C157" s="91"/>
      <c r="D157" s="91"/>
      <c r="E157" s="91"/>
      <c r="F157" s="91"/>
      <c r="G157" s="91"/>
    </row>
    <row r="158" spans="1:7" ht="15.75">
      <c r="A158" s="90" t="s">
        <v>1769</v>
      </c>
      <c r="B158" s="90"/>
      <c r="C158" s="90"/>
      <c r="D158" s="90"/>
      <c r="E158" s="90"/>
      <c r="F158" s="90"/>
      <c r="G158" s="90"/>
    </row>
    <row r="159" spans="1:7" ht="31.5" customHeight="1">
      <c r="A159" s="49" t="s">
        <v>227</v>
      </c>
      <c r="B159" s="91" t="s">
        <v>1813</v>
      </c>
      <c r="C159" s="91"/>
      <c r="D159" s="91"/>
      <c r="E159" s="91"/>
      <c r="F159" s="91"/>
      <c r="G159" s="91"/>
    </row>
    <row r="160" spans="1:7" ht="15.75">
      <c r="A160" s="90" t="s">
        <v>1776</v>
      </c>
      <c r="B160" s="90"/>
      <c r="C160" s="90"/>
      <c r="D160" s="90"/>
      <c r="E160" s="90"/>
      <c r="F160" s="90"/>
      <c r="G160" s="90"/>
    </row>
    <row r="161" spans="1:7" ht="31.5" customHeight="1">
      <c r="A161" s="49" t="s">
        <v>227</v>
      </c>
      <c r="B161" s="91" t="s">
        <v>1814</v>
      </c>
      <c r="C161" s="91"/>
      <c r="D161" s="91"/>
      <c r="E161" s="91"/>
      <c r="F161" s="91"/>
      <c r="G161" s="91"/>
    </row>
    <row r="162" spans="1:7" ht="31.5" customHeight="1">
      <c r="A162" s="93" t="s">
        <v>229</v>
      </c>
      <c r="B162" s="93"/>
      <c r="C162" s="93"/>
      <c r="D162" s="93"/>
      <c r="E162" s="93"/>
      <c r="F162" s="93"/>
      <c r="G162" s="93"/>
    </row>
  </sheetData>
  <sheetProtection/>
  <mergeCells count="257">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G37"/>
    <mergeCell ref="A38:E38"/>
    <mergeCell ref="F38:G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B93:G93"/>
    <mergeCell ref="B94:G94"/>
    <mergeCell ref="B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57:G157"/>
    <mergeCell ref="B146:G146"/>
    <mergeCell ref="B147:G147"/>
    <mergeCell ref="A148:G148"/>
    <mergeCell ref="A149:G149"/>
    <mergeCell ref="A150:G150"/>
    <mergeCell ref="B151:G151"/>
    <mergeCell ref="A158:G158"/>
    <mergeCell ref="B159:G159"/>
    <mergeCell ref="A160:G160"/>
    <mergeCell ref="B161:G161"/>
    <mergeCell ref="A162:G162"/>
    <mergeCell ref="A152:G152"/>
    <mergeCell ref="B153:G153"/>
    <mergeCell ref="A154:G154"/>
    <mergeCell ref="B155:G155"/>
    <mergeCell ref="A156:G15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2" manualBreakCount="2">
    <brk id="42" max="255" man="1"/>
    <brk id="123" max="255" man="1"/>
  </rowBreaks>
</worksheet>
</file>

<file path=xl/worksheets/sheet17.xml><?xml version="1.0" encoding="utf-8"?>
<worksheet xmlns="http://schemas.openxmlformats.org/spreadsheetml/2006/main" xmlns:r="http://schemas.openxmlformats.org/officeDocument/2006/relationships">
  <dimension ref="A1:G97"/>
  <sheetViews>
    <sheetView showGridLines="0" tabSelected="1" view="pageBreakPreview" zoomScale="70" zoomScaleSheetLayoutView="70" zoomScalePageLayoutView="0" workbookViewId="0" topLeftCell="A76">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275</v>
      </c>
      <c r="E5" s="141"/>
      <c r="F5" s="141"/>
      <c r="G5" s="142"/>
    </row>
    <row r="6" spans="1:7" ht="15.75">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425</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426</v>
      </c>
      <c r="B13" s="166"/>
      <c r="C13" s="166"/>
      <c r="D13" s="166"/>
      <c r="E13" s="166"/>
      <c r="F13" s="166"/>
      <c r="G13" s="167"/>
    </row>
    <row r="14" spans="1:7" ht="16.5">
      <c r="A14" s="39"/>
      <c r="B14" s="163" t="s">
        <v>98</v>
      </c>
      <c r="C14" s="163"/>
      <c r="D14" s="163"/>
      <c r="E14" s="163"/>
      <c r="F14" s="163"/>
      <c r="G14" s="164"/>
    </row>
    <row r="15" spans="1:7" ht="15.75">
      <c r="A15" s="40"/>
      <c r="B15" s="182" t="s">
        <v>427</v>
      </c>
      <c r="C15" s="182"/>
      <c r="D15" s="182"/>
      <c r="E15" s="182"/>
      <c r="F15" s="182"/>
      <c r="G15" s="183"/>
    </row>
    <row r="16" spans="1:7" ht="15.75">
      <c r="A16" s="107" t="s">
        <v>100</v>
      </c>
      <c r="B16" s="108"/>
      <c r="C16" s="108"/>
      <c r="D16" s="108"/>
      <c r="E16" s="108"/>
      <c r="F16" s="108"/>
      <c r="G16" s="109"/>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ustomHeight="1">
      <c r="A19" s="110" t="s">
        <v>105</v>
      </c>
      <c r="B19" s="111"/>
      <c r="C19" s="112" t="s">
        <v>106</v>
      </c>
      <c r="D19" s="113"/>
      <c r="E19" s="113"/>
      <c r="F19" s="113"/>
      <c r="G19" s="114"/>
    </row>
    <row r="20" spans="1:7" ht="15.75" customHeight="1">
      <c r="A20" s="110" t="s">
        <v>107</v>
      </c>
      <c r="B20" s="111"/>
      <c r="C20" s="112" t="s">
        <v>108</v>
      </c>
      <c r="D20" s="113"/>
      <c r="E20" s="113"/>
      <c r="F20" s="113"/>
      <c r="G20" s="114"/>
    </row>
    <row r="21" spans="1:7" ht="13.5" customHeight="1">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'E002'!B17</f>
        <v>185.189071</v>
      </c>
      <c r="F24" s="43">
        <f>'E002'!C17</f>
        <v>142.66509749000002</v>
      </c>
      <c r="G24" s="44">
        <f>F24/E24</f>
        <v>0.7703753613516426</v>
      </c>
    </row>
    <row r="25" spans="1:7" ht="15.75">
      <c r="A25" s="123" t="s">
        <v>114</v>
      </c>
      <c r="B25" s="124"/>
      <c r="C25" s="124"/>
      <c r="D25" s="125"/>
      <c r="E25" s="43">
        <f>'E002'!B18</f>
        <v>142.66509749</v>
      </c>
      <c r="F25" s="43">
        <f>'E002'!C18</f>
        <v>142.66509749000002</v>
      </c>
      <c r="G25" s="44">
        <f>F25/E25</f>
        <v>1.0000000000000002</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 r="A29" s="104" t="s">
        <v>119</v>
      </c>
      <c r="B29" s="104" t="s">
        <v>120</v>
      </c>
      <c r="C29" s="104" t="s">
        <v>65</v>
      </c>
      <c r="D29" s="104" t="s">
        <v>121</v>
      </c>
      <c r="E29" s="104" t="s">
        <v>122</v>
      </c>
      <c r="F29" s="45" t="s">
        <v>123</v>
      </c>
      <c r="G29" s="46">
        <v>85</v>
      </c>
    </row>
    <row r="30" spans="1:7" ht="15.75">
      <c r="A30" s="105"/>
      <c r="B30" s="105"/>
      <c r="C30" s="105"/>
      <c r="D30" s="105"/>
      <c r="E30" s="105"/>
      <c r="F30" s="45" t="s">
        <v>124</v>
      </c>
      <c r="G30" s="46">
        <v>85</v>
      </c>
    </row>
    <row r="31" spans="1:7" ht="53.25" customHeight="1">
      <c r="A31" s="100" t="s">
        <v>428</v>
      </c>
      <c r="B31" s="100" t="s">
        <v>429</v>
      </c>
      <c r="C31" s="100" t="s">
        <v>430</v>
      </c>
      <c r="D31" s="102" t="s">
        <v>5</v>
      </c>
      <c r="E31" s="102" t="s">
        <v>292</v>
      </c>
      <c r="F31" s="45" t="s">
        <v>130</v>
      </c>
      <c r="G31" s="47">
        <f>(4/4)*100</f>
        <v>100</v>
      </c>
    </row>
    <row r="32" spans="1:7" ht="53.25" customHeight="1">
      <c r="A32" s="101"/>
      <c r="B32" s="101"/>
      <c r="C32" s="101"/>
      <c r="D32" s="103"/>
      <c r="E32" s="103"/>
      <c r="F32" s="45" t="s">
        <v>131</v>
      </c>
      <c r="G32" s="47">
        <v>117.6470588235294</v>
      </c>
    </row>
    <row r="33" spans="1:7" ht="15.75">
      <c r="A33" s="104" t="s">
        <v>119</v>
      </c>
      <c r="B33" s="104" t="s">
        <v>120</v>
      </c>
      <c r="C33" s="104" t="s">
        <v>65</v>
      </c>
      <c r="D33" s="104" t="s">
        <v>121</v>
      </c>
      <c r="E33" s="104" t="s">
        <v>122</v>
      </c>
      <c r="F33" s="45" t="s">
        <v>123</v>
      </c>
      <c r="G33" s="46">
        <v>30</v>
      </c>
    </row>
    <row r="34" spans="1:7" ht="15.75">
      <c r="A34" s="105"/>
      <c r="B34" s="105"/>
      <c r="C34" s="105"/>
      <c r="D34" s="105"/>
      <c r="E34" s="105"/>
      <c r="F34" s="45" t="s">
        <v>124</v>
      </c>
      <c r="G34" s="46">
        <v>30</v>
      </c>
    </row>
    <row r="35" spans="1:7" ht="49.5" customHeight="1">
      <c r="A35" s="100" t="s">
        <v>431</v>
      </c>
      <c r="B35" s="100" t="s">
        <v>432</v>
      </c>
      <c r="C35" s="100" t="s">
        <v>433</v>
      </c>
      <c r="D35" s="102" t="s">
        <v>5</v>
      </c>
      <c r="E35" s="102" t="s">
        <v>129</v>
      </c>
      <c r="F35" s="45" t="s">
        <v>130</v>
      </c>
      <c r="G35" s="47">
        <f>(2/2)*100</f>
        <v>100</v>
      </c>
    </row>
    <row r="36" spans="1:7" ht="49.5" customHeight="1">
      <c r="A36" s="101"/>
      <c r="B36" s="101"/>
      <c r="C36" s="101"/>
      <c r="D36" s="103"/>
      <c r="E36" s="103"/>
      <c r="F36" s="45" t="s">
        <v>131</v>
      </c>
      <c r="G36" s="47">
        <v>333.3333333333333</v>
      </c>
    </row>
    <row r="37" spans="1:7" ht="15.75">
      <c r="A37" s="96" t="s">
        <v>288</v>
      </c>
      <c r="B37" s="96"/>
      <c r="C37" s="96"/>
      <c r="D37" s="96"/>
      <c r="E37" s="96"/>
      <c r="F37" s="96"/>
      <c r="G37" s="96"/>
    </row>
    <row r="38" spans="1:7" ht="15.75">
      <c r="A38" s="106" t="s">
        <v>117</v>
      </c>
      <c r="B38" s="106"/>
      <c r="C38" s="106"/>
      <c r="D38" s="106"/>
      <c r="E38" s="106"/>
      <c r="F38" s="106" t="s">
        <v>118</v>
      </c>
      <c r="G38" s="106"/>
    </row>
    <row r="39" spans="1:7" ht="15.75">
      <c r="A39" s="104" t="s">
        <v>119</v>
      </c>
      <c r="B39" s="104" t="s">
        <v>120</v>
      </c>
      <c r="C39" s="104" t="s">
        <v>65</v>
      </c>
      <c r="D39" s="104" t="s">
        <v>121</v>
      </c>
      <c r="E39" s="104" t="s">
        <v>122</v>
      </c>
      <c r="F39" s="45" t="s">
        <v>123</v>
      </c>
      <c r="G39" s="46">
        <v>50</v>
      </c>
    </row>
    <row r="40" spans="1:7" ht="15.75">
      <c r="A40" s="105"/>
      <c r="B40" s="105"/>
      <c r="C40" s="105"/>
      <c r="D40" s="105"/>
      <c r="E40" s="105"/>
      <c r="F40" s="45" t="s">
        <v>124</v>
      </c>
      <c r="G40" s="46">
        <v>50</v>
      </c>
    </row>
    <row r="41" spans="1:7" ht="31.5" customHeight="1">
      <c r="A41" s="100" t="s">
        <v>434</v>
      </c>
      <c r="B41" s="100" t="s">
        <v>435</v>
      </c>
      <c r="C41" s="100" t="s">
        <v>436</v>
      </c>
      <c r="D41" s="102" t="s">
        <v>5</v>
      </c>
      <c r="E41" s="102" t="s">
        <v>129</v>
      </c>
      <c r="F41" s="45" t="s">
        <v>130</v>
      </c>
      <c r="G41" s="47">
        <f>(48/48)*100</f>
        <v>100</v>
      </c>
    </row>
    <row r="42" spans="1:7" ht="31.5" customHeight="1">
      <c r="A42" s="101"/>
      <c r="B42" s="101"/>
      <c r="C42" s="101"/>
      <c r="D42" s="103"/>
      <c r="E42" s="103"/>
      <c r="F42" s="45" t="s">
        <v>131</v>
      </c>
      <c r="G42" s="47">
        <v>200</v>
      </c>
    </row>
    <row r="43" spans="1:7" ht="15.75">
      <c r="A43" s="96" t="s">
        <v>293</v>
      </c>
      <c r="B43" s="96"/>
      <c r="C43" s="96"/>
      <c r="D43" s="96"/>
      <c r="E43" s="96"/>
      <c r="F43" s="96"/>
      <c r="G43" s="96"/>
    </row>
    <row r="44" spans="1:7" ht="15.75">
      <c r="A44" s="106" t="s">
        <v>117</v>
      </c>
      <c r="B44" s="106"/>
      <c r="C44" s="106"/>
      <c r="D44" s="106"/>
      <c r="E44" s="106"/>
      <c r="F44" s="106" t="s">
        <v>118</v>
      </c>
      <c r="G44" s="106"/>
    </row>
    <row r="45" spans="1:7" ht="15.75">
      <c r="A45" s="104" t="s">
        <v>119</v>
      </c>
      <c r="B45" s="104" t="s">
        <v>120</v>
      </c>
      <c r="C45" s="104" t="s">
        <v>65</v>
      </c>
      <c r="D45" s="104" t="s">
        <v>121</v>
      </c>
      <c r="E45" s="104" t="s">
        <v>122</v>
      </c>
      <c r="F45" s="45" t="s">
        <v>123</v>
      </c>
      <c r="G45" s="46">
        <v>30</v>
      </c>
    </row>
    <row r="46" spans="1:7" ht="15.75">
      <c r="A46" s="105"/>
      <c r="B46" s="105"/>
      <c r="C46" s="105"/>
      <c r="D46" s="105"/>
      <c r="E46" s="105"/>
      <c r="F46" s="45" t="s">
        <v>124</v>
      </c>
      <c r="G46" s="46">
        <v>30</v>
      </c>
    </row>
    <row r="47" spans="1:7" ht="29.25" customHeight="1">
      <c r="A47" s="100" t="s">
        <v>437</v>
      </c>
      <c r="B47" s="100" t="s">
        <v>438</v>
      </c>
      <c r="C47" s="100" t="s">
        <v>439</v>
      </c>
      <c r="D47" s="102" t="s">
        <v>5</v>
      </c>
      <c r="E47" s="102" t="s">
        <v>142</v>
      </c>
      <c r="F47" s="45" t="s">
        <v>130</v>
      </c>
      <c r="G47" s="47">
        <f>(15/48)*100</f>
        <v>31.25</v>
      </c>
    </row>
    <row r="48" spans="1:7" ht="29.25" customHeight="1">
      <c r="A48" s="101"/>
      <c r="B48" s="101"/>
      <c r="C48" s="101"/>
      <c r="D48" s="103"/>
      <c r="E48" s="103"/>
      <c r="F48" s="45" t="s">
        <v>131</v>
      </c>
      <c r="G48" s="47">
        <v>104.16666666666667</v>
      </c>
    </row>
    <row r="49" spans="1:7" ht="15.75">
      <c r="A49" s="96" t="s">
        <v>303</v>
      </c>
      <c r="B49" s="96"/>
      <c r="C49" s="96"/>
      <c r="D49" s="96"/>
      <c r="E49" s="96"/>
      <c r="F49" s="96"/>
      <c r="G49" s="96"/>
    </row>
    <row r="50" spans="1:7" ht="15.75">
      <c r="A50" s="106" t="s">
        <v>117</v>
      </c>
      <c r="B50" s="106"/>
      <c r="C50" s="106"/>
      <c r="D50" s="106"/>
      <c r="E50" s="106"/>
      <c r="F50" s="106" t="s">
        <v>118</v>
      </c>
      <c r="G50" s="106"/>
    </row>
    <row r="51" spans="1:7" ht="15.75">
      <c r="A51" s="104" t="s">
        <v>119</v>
      </c>
      <c r="B51" s="104" t="s">
        <v>120</v>
      </c>
      <c r="C51" s="104" t="s">
        <v>65</v>
      </c>
      <c r="D51" s="104" t="s">
        <v>121</v>
      </c>
      <c r="E51" s="104" t="s">
        <v>122</v>
      </c>
      <c r="F51" s="45" t="s">
        <v>123</v>
      </c>
      <c r="G51" s="46">
        <v>100</v>
      </c>
    </row>
    <row r="52" spans="1:7" ht="15.75">
      <c r="A52" s="105"/>
      <c r="B52" s="105"/>
      <c r="C52" s="105"/>
      <c r="D52" s="105"/>
      <c r="E52" s="105"/>
      <c r="F52" s="45" t="s">
        <v>124</v>
      </c>
      <c r="G52" s="46">
        <v>100</v>
      </c>
    </row>
    <row r="53" spans="1:7" ht="15.75" customHeight="1">
      <c r="A53" s="100" t="s">
        <v>440</v>
      </c>
      <c r="B53" s="100" t="s">
        <v>441</v>
      </c>
      <c r="C53" s="100" t="s">
        <v>442</v>
      </c>
      <c r="D53" s="102" t="s">
        <v>5</v>
      </c>
      <c r="E53" s="102" t="s">
        <v>142</v>
      </c>
      <c r="F53" s="45" t="s">
        <v>130</v>
      </c>
      <c r="G53" s="47">
        <f>(12/11)*100</f>
        <v>109.09090909090908</v>
      </c>
    </row>
    <row r="54" spans="1:7" ht="27">
      <c r="A54" s="101"/>
      <c r="B54" s="101"/>
      <c r="C54" s="101"/>
      <c r="D54" s="103"/>
      <c r="E54" s="103"/>
      <c r="F54" s="45" t="s">
        <v>131</v>
      </c>
      <c r="G54" s="47">
        <v>109.09090909090908</v>
      </c>
    </row>
    <row r="55" spans="1:7" ht="15.75">
      <c r="A55" s="104" t="s">
        <v>119</v>
      </c>
      <c r="B55" s="104" t="s">
        <v>120</v>
      </c>
      <c r="C55" s="104" t="s">
        <v>65</v>
      </c>
      <c r="D55" s="104" t="s">
        <v>121</v>
      </c>
      <c r="E55" s="104" t="s">
        <v>122</v>
      </c>
      <c r="F55" s="45" t="s">
        <v>123</v>
      </c>
      <c r="G55" s="46">
        <v>100</v>
      </c>
    </row>
    <row r="56" spans="1:7" ht="15.75">
      <c r="A56" s="105"/>
      <c r="B56" s="105"/>
      <c r="C56" s="105"/>
      <c r="D56" s="105"/>
      <c r="E56" s="105"/>
      <c r="F56" s="45" t="s">
        <v>124</v>
      </c>
      <c r="G56" s="46">
        <v>100</v>
      </c>
    </row>
    <row r="57" spans="1:7" ht="15.75" customHeight="1">
      <c r="A57" s="100" t="s">
        <v>443</v>
      </c>
      <c r="B57" s="100" t="s">
        <v>444</v>
      </c>
      <c r="C57" s="100" t="s">
        <v>445</v>
      </c>
      <c r="D57" s="102" t="s">
        <v>5</v>
      </c>
      <c r="E57" s="102" t="s">
        <v>167</v>
      </c>
      <c r="F57" s="45" t="s">
        <v>130</v>
      </c>
      <c r="G57" s="47">
        <f>(23/23)*100</f>
        <v>100</v>
      </c>
    </row>
    <row r="58" spans="1:7" ht="27">
      <c r="A58" s="101"/>
      <c r="B58" s="101"/>
      <c r="C58" s="101"/>
      <c r="D58" s="103"/>
      <c r="E58" s="103"/>
      <c r="F58" s="45" t="s">
        <v>131</v>
      </c>
      <c r="G58" s="47">
        <v>100</v>
      </c>
    </row>
    <row r="59" spans="1:7" ht="15.75">
      <c r="A59" s="104" t="s">
        <v>119</v>
      </c>
      <c r="B59" s="104" t="s">
        <v>120</v>
      </c>
      <c r="C59" s="104" t="s">
        <v>65</v>
      </c>
      <c r="D59" s="104" t="s">
        <v>121</v>
      </c>
      <c r="E59" s="104" t="s">
        <v>122</v>
      </c>
      <c r="F59" s="45" t="s">
        <v>123</v>
      </c>
      <c r="G59" s="46">
        <v>100</v>
      </c>
    </row>
    <row r="60" spans="1:7" ht="15.75">
      <c r="A60" s="105"/>
      <c r="B60" s="105"/>
      <c r="C60" s="105"/>
      <c r="D60" s="105"/>
      <c r="E60" s="105"/>
      <c r="F60" s="45" t="s">
        <v>124</v>
      </c>
      <c r="G60" s="46">
        <v>100</v>
      </c>
    </row>
    <row r="61" spans="1:7" ht="15.75" customHeight="1">
      <c r="A61" s="100" t="s">
        <v>446</v>
      </c>
      <c r="B61" s="100" t="s">
        <v>447</v>
      </c>
      <c r="C61" s="100" t="s">
        <v>448</v>
      </c>
      <c r="D61" s="102" t="s">
        <v>5</v>
      </c>
      <c r="E61" s="102" t="s">
        <v>167</v>
      </c>
      <c r="F61" s="45" t="s">
        <v>130</v>
      </c>
      <c r="G61" s="47">
        <f>(14/14)*100</f>
        <v>100</v>
      </c>
    </row>
    <row r="62" spans="1:7" ht="27">
      <c r="A62" s="101"/>
      <c r="B62" s="101"/>
      <c r="C62" s="101"/>
      <c r="D62" s="103"/>
      <c r="E62" s="103"/>
      <c r="F62" s="45" t="s">
        <v>131</v>
      </c>
      <c r="G62" s="47">
        <v>100</v>
      </c>
    </row>
    <row r="63" spans="1:7" ht="15.75">
      <c r="A63" s="96" t="s">
        <v>192</v>
      </c>
      <c r="B63" s="96"/>
      <c r="C63" s="96"/>
      <c r="D63" s="96"/>
      <c r="E63" s="96"/>
      <c r="F63" s="96"/>
      <c r="G63" s="96"/>
    </row>
    <row r="64" spans="1:7" ht="15.75">
      <c r="A64" s="99" t="s">
        <v>428</v>
      </c>
      <c r="B64" s="99"/>
      <c r="C64" s="99"/>
      <c r="D64" s="99"/>
      <c r="E64" s="99"/>
      <c r="F64" s="99"/>
      <c r="G64" s="99"/>
    </row>
    <row r="65" spans="1:7" ht="15.75">
      <c r="A65" s="48" t="s">
        <v>193</v>
      </c>
      <c r="B65" s="98" t="s">
        <v>449</v>
      </c>
      <c r="C65" s="98"/>
      <c r="D65" s="98"/>
      <c r="E65" s="98"/>
      <c r="F65" s="98"/>
      <c r="G65" s="98"/>
    </row>
    <row r="66" spans="1:7" ht="31.5" customHeight="1">
      <c r="A66" s="49" t="s">
        <v>6</v>
      </c>
      <c r="B66" s="94" t="s">
        <v>450</v>
      </c>
      <c r="C66" s="94"/>
      <c r="D66" s="94"/>
      <c r="E66" s="94"/>
      <c r="F66" s="94"/>
      <c r="G66" s="94"/>
    </row>
    <row r="67" spans="1:7" ht="15.75">
      <c r="A67" s="49" t="s">
        <v>195</v>
      </c>
      <c r="B67" s="95" t="s">
        <v>259</v>
      </c>
      <c r="C67" s="95"/>
      <c r="D67" s="95"/>
      <c r="E67" s="95"/>
      <c r="F67" s="95"/>
      <c r="G67" s="95"/>
    </row>
    <row r="68" spans="1:7" ht="15.75">
      <c r="A68" s="90" t="s">
        <v>431</v>
      </c>
      <c r="B68" s="90"/>
      <c r="C68" s="90"/>
      <c r="D68" s="90"/>
      <c r="E68" s="90"/>
      <c r="F68" s="90"/>
      <c r="G68" s="90"/>
    </row>
    <row r="69" spans="1:7" ht="31.5" customHeight="1">
      <c r="A69" s="49" t="s">
        <v>193</v>
      </c>
      <c r="B69" s="98" t="s">
        <v>451</v>
      </c>
      <c r="C69" s="98"/>
      <c r="D69" s="98"/>
      <c r="E69" s="98"/>
      <c r="F69" s="98"/>
      <c r="G69" s="98"/>
    </row>
    <row r="70" spans="1:7" ht="15.75">
      <c r="A70" s="49" t="s">
        <v>6</v>
      </c>
      <c r="B70" s="94" t="s">
        <v>452</v>
      </c>
      <c r="C70" s="94"/>
      <c r="D70" s="94"/>
      <c r="E70" s="94"/>
      <c r="F70" s="94"/>
      <c r="G70" s="94"/>
    </row>
    <row r="71" spans="1:7" ht="15.75">
      <c r="A71" s="49" t="s">
        <v>195</v>
      </c>
      <c r="B71" s="95" t="s">
        <v>259</v>
      </c>
      <c r="C71" s="95"/>
      <c r="D71" s="95"/>
      <c r="E71" s="95"/>
      <c r="F71" s="95"/>
      <c r="G71" s="95"/>
    </row>
    <row r="72" spans="1:7" ht="15.75">
      <c r="A72" s="90" t="s">
        <v>434</v>
      </c>
      <c r="B72" s="90"/>
      <c r="C72" s="90"/>
      <c r="D72" s="90"/>
      <c r="E72" s="90"/>
      <c r="F72" s="90"/>
      <c r="G72" s="90"/>
    </row>
    <row r="73" spans="1:7" ht="31.5" customHeight="1">
      <c r="A73" s="49" t="s">
        <v>193</v>
      </c>
      <c r="B73" s="98" t="s">
        <v>453</v>
      </c>
      <c r="C73" s="98"/>
      <c r="D73" s="98"/>
      <c r="E73" s="98"/>
      <c r="F73" s="98"/>
      <c r="G73" s="98"/>
    </row>
    <row r="74" spans="1:7" ht="15.75">
      <c r="A74" s="49" t="s">
        <v>6</v>
      </c>
      <c r="B74" s="94" t="s">
        <v>452</v>
      </c>
      <c r="C74" s="94"/>
      <c r="D74" s="94"/>
      <c r="E74" s="94"/>
      <c r="F74" s="94"/>
      <c r="G74" s="94"/>
    </row>
    <row r="75" spans="1:7" ht="15.75">
      <c r="A75" s="49" t="s">
        <v>195</v>
      </c>
      <c r="B75" s="95" t="s">
        <v>259</v>
      </c>
      <c r="C75" s="95"/>
      <c r="D75" s="95"/>
      <c r="E75" s="95"/>
      <c r="F75" s="95"/>
      <c r="G75" s="95"/>
    </row>
    <row r="76" spans="1:7" ht="15.75">
      <c r="A76" s="90" t="s">
        <v>437</v>
      </c>
      <c r="B76" s="90"/>
      <c r="C76" s="90"/>
      <c r="D76" s="90"/>
      <c r="E76" s="90"/>
      <c r="F76" s="90"/>
      <c r="G76" s="90"/>
    </row>
    <row r="77" spans="1:7" ht="15.75">
      <c r="A77" s="49" t="s">
        <v>193</v>
      </c>
      <c r="B77" s="98" t="s">
        <v>454</v>
      </c>
      <c r="C77" s="98"/>
      <c r="D77" s="98"/>
      <c r="E77" s="98"/>
      <c r="F77" s="98"/>
      <c r="G77" s="98"/>
    </row>
    <row r="78" spans="1:7" ht="15.75">
      <c r="A78" s="49" t="s">
        <v>6</v>
      </c>
      <c r="B78" s="94" t="s">
        <v>455</v>
      </c>
      <c r="C78" s="94"/>
      <c r="D78" s="94"/>
      <c r="E78" s="94"/>
      <c r="F78" s="94"/>
      <c r="G78" s="94"/>
    </row>
    <row r="79" spans="1:7" ht="15.75">
      <c r="A79" s="49" t="s">
        <v>195</v>
      </c>
      <c r="B79" s="95" t="s">
        <v>259</v>
      </c>
      <c r="C79" s="95"/>
      <c r="D79" s="95"/>
      <c r="E79" s="95"/>
      <c r="F79" s="95"/>
      <c r="G79" s="95"/>
    </row>
    <row r="80" spans="1:7" ht="15.75">
      <c r="A80" s="90" t="s">
        <v>440</v>
      </c>
      <c r="B80" s="90"/>
      <c r="C80" s="90"/>
      <c r="D80" s="90"/>
      <c r="E80" s="90"/>
      <c r="F80" s="90"/>
      <c r="G80" s="90"/>
    </row>
    <row r="81" spans="1:7" ht="31.5" customHeight="1">
      <c r="A81" s="49" t="s">
        <v>193</v>
      </c>
      <c r="B81" s="98" t="s">
        <v>456</v>
      </c>
      <c r="C81" s="98"/>
      <c r="D81" s="98"/>
      <c r="E81" s="98"/>
      <c r="F81" s="98"/>
      <c r="G81" s="98"/>
    </row>
    <row r="82" spans="1:7" ht="15.75">
      <c r="A82" s="49" t="s">
        <v>6</v>
      </c>
      <c r="B82" s="94" t="s">
        <v>455</v>
      </c>
      <c r="C82" s="94"/>
      <c r="D82" s="94"/>
      <c r="E82" s="94"/>
      <c r="F82" s="94"/>
      <c r="G82" s="94"/>
    </row>
    <row r="83" spans="1:7" ht="15.75">
      <c r="A83" s="49" t="s">
        <v>195</v>
      </c>
      <c r="B83" s="95" t="s">
        <v>259</v>
      </c>
      <c r="C83" s="95"/>
      <c r="D83" s="95"/>
      <c r="E83" s="95"/>
      <c r="F83" s="95"/>
      <c r="G83" s="95"/>
    </row>
    <row r="84" spans="1:7" ht="15.75">
      <c r="A84" s="90" t="s">
        <v>457</v>
      </c>
      <c r="B84" s="90"/>
      <c r="C84" s="90"/>
      <c r="D84" s="90"/>
      <c r="E84" s="90"/>
      <c r="F84" s="90"/>
      <c r="G84" s="90"/>
    </row>
    <row r="85" spans="1:7" ht="15.75">
      <c r="A85" s="49" t="s">
        <v>193</v>
      </c>
      <c r="B85" s="98" t="s">
        <v>458</v>
      </c>
      <c r="C85" s="98"/>
      <c r="D85" s="98"/>
      <c r="E85" s="98"/>
      <c r="F85" s="98"/>
      <c r="G85" s="98"/>
    </row>
    <row r="86" spans="1:7" ht="15.75">
      <c r="A86" s="49" t="s">
        <v>6</v>
      </c>
      <c r="B86" s="94" t="s">
        <v>455</v>
      </c>
      <c r="C86" s="94"/>
      <c r="D86" s="94"/>
      <c r="E86" s="94"/>
      <c r="F86" s="94"/>
      <c r="G86" s="94"/>
    </row>
    <row r="87" spans="1:7" ht="15.75">
      <c r="A87" s="49" t="s">
        <v>195</v>
      </c>
      <c r="B87" s="95" t="s">
        <v>259</v>
      </c>
      <c r="C87" s="95"/>
      <c r="D87" s="95"/>
      <c r="E87" s="95"/>
      <c r="F87" s="95"/>
      <c r="G87" s="95"/>
    </row>
    <row r="88" spans="1:7" ht="15.75">
      <c r="A88" s="90" t="s">
        <v>446</v>
      </c>
      <c r="B88" s="90"/>
      <c r="C88" s="90"/>
      <c r="D88" s="90"/>
      <c r="E88" s="90"/>
      <c r="F88" s="90"/>
      <c r="G88" s="90"/>
    </row>
    <row r="89" spans="1:7" ht="15.75">
      <c r="A89" s="49" t="s">
        <v>193</v>
      </c>
      <c r="B89" s="98" t="s">
        <v>459</v>
      </c>
      <c r="C89" s="98"/>
      <c r="D89" s="98"/>
      <c r="E89" s="98"/>
      <c r="F89" s="98"/>
      <c r="G89" s="98"/>
    </row>
    <row r="90" spans="1:7" ht="15.75">
      <c r="A90" s="49" t="s">
        <v>6</v>
      </c>
      <c r="B90" s="94" t="s">
        <v>455</v>
      </c>
      <c r="C90" s="94"/>
      <c r="D90" s="94"/>
      <c r="E90" s="94"/>
      <c r="F90" s="94"/>
      <c r="G90" s="94"/>
    </row>
    <row r="91" spans="1:7" ht="15.75">
      <c r="A91" s="49" t="s">
        <v>195</v>
      </c>
      <c r="B91" s="95" t="s">
        <v>259</v>
      </c>
      <c r="C91" s="95"/>
      <c r="D91" s="95"/>
      <c r="E91" s="95"/>
      <c r="F91" s="95"/>
      <c r="G91" s="95"/>
    </row>
    <row r="92" spans="1:7" ht="15.75">
      <c r="A92" s="90"/>
      <c r="B92" s="90"/>
      <c r="C92" s="90"/>
      <c r="D92" s="90"/>
      <c r="E92" s="90"/>
      <c r="F92" s="90"/>
      <c r="G92" s="90"/>
    </row>
    <row r="93" spans="1:7" ht="15.75">
      <c r="A93" s="96" t="s">
        <v>226</v>
      </c>
      <c r="B93" s="96"/>
      <c r="C93" s="96"/>
      <c r="D93" s="96"/>
      <c r="E93" s="96"/>
      <c r="F93" s="96"/>
      <c r="G93" s="96"/>
    </row>
    <row r="94" spans="1:7" ht="15.75">
      <c r="A94" s="90" t="s">
        <v>443</v>
      </c>
      <c r="B94" s="90"/>
      <c r="C94" s="90"/>
      <c r="D94" s="90"/>
      <c r="E94" s="90"/>
      <c r="F94" s="90"/>
      <c r="G94" s="90"/>
    </row>
    <row r="95" spans="1:7" ht="83.25" customHeight="1">
      <c r="A95" s="49" t="s">
        <v>227</v>
      </c>
      <c r="B95" s="91" t="s">
        <v>460</v>
      </c>
      <c r="C95" s="91"/>
      <c r="D95" s="91"/>
      <c r="E95" s="91"/>
      <c r="F95" s="91"/>
      <c r="G95" s="91"/>
    </row>
    <row r="96" spans="1:7" ht="15.75">
      <c r="A96" s="90"/>
      <c r="B96" s="90"/>
      <c r="C96" s="90"/>
      <c r="D96" s="90"/>
      <c r="E96" s="90"/>
      <c r="F96" s="90"/>
      <c r="G96" s="90"/>
    </row>
    <row r="97" spans="1:7" ht="31.5" customHeight="1">
      <c r="A97" s="93" t="s">
        <v>229</v>
      </c>
      <c r="B97" s="93"/>
      <c r="C97" s="93"/>
      <c r="D97" s="93"/>
      <c r="E97" s="93"/>
      <c r="F97" s="93"/>
      <c r="G97" s="93"/>
    </row>
  </sheetData>
  <sheetProtection/>
  <mergeCells count="150">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G37"/>
    <mergeCell ref="A38:E38"/>
    <mergeCell ref="F38:G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B65:G65"/>
    <mergeCell ref="B66:G66"/>
    <mergeCell ref="B67:G67"/>
    <mergeCell ref="A68:G68"/>
    <mergeCell ref="B69:G69"/>
    <mergeCell ref="B70:G70"/>
    <mergeCell ref="B71:G71"/>
    <mergeCell ref="A72:G72"/>
    <mergeCell ref="B73:G73"/>
    <mergeCell ref="B74:G74"/>
    <mergeCell ref="B75:G75"/>
    <mergeCell ref="A76:G76"/>
    <mergeCell ref="B77:G77"/>
    <mergeCell ref="B78:G78"/>
    <mergeCell ref="B79:G79"/>
    <mergeCell ref="A80:G80"/>
    <mergeCell ref="B81:G81"/>
    <mergeCell ref="B82:G82"/>
    <mergeCell ref="B83:G83"/>
    <mergeCell ref="A84:G84"/>
    <mergeCell ref="B85:G85"/>
    <mergeCell ref="B86:G86"/>
    <mergeCell ref="B87:G87"/>
    <mergeCell ref="A94:G94"/>
    <mergeCell ref="B95:G95"/>
    <mergeCell ref="A96:G96"/>
    <mergeCell ref="A97:G97"/>
    <mergeCell ref="A88:G88"/>
    <mergeCell ref="B89:G89"/>
    <mergeCell ref="B90:G90"/>
    <mergeCell ref="B91:G91"/>
    <mergeCell ref="A92:G92"/>
    <mergeCell ref="A93:G93"/>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2" manualBreakCount="2">
    <brk id="42" max="255" man="1"/>
    <brk id="92" max="255" man="1"/>
  </rowBreaks>
</worksheet>
</file>

<file path=xl/worksheets/sheet18.xml><?xml version="1.0" encoding="utf-8"?>
<worksheet xmlns="http://schemas.openxmlformats.org/spreadsheetml/2006/main" xmlns:r="http://schemas.openxmlformats.org/officeDocument/2006/relationships">
  <dimension ref="A1:G151"/>
  <sheetViews>
    <sheetView showGridLines="0" tabSelected="1" view="pageBreakPreview" zoomScale="90" zoomScaleSheetLayoutView="90" zoomScalePageLayoutView="0" workbookViewId="0" topLeftCell="A1">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50"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275</v>
      </c>
      <c r="E5" s="141"/>
      <c r="F5" s="141"/>
      <c r="G5" s="142"/>
    </row>
    <row r="6" spans="1:7" ht="15.75">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576</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426</v>
      </c>
      <c r="B13" s="166"/>
      <c r="C13" s="166"/>
      <c r="D13" s="166"/>
      <c r="E13" s="166"/>
      <c r="F13" s="166"/>
      <c r="G13" s="167"/>
    </row>
    <row r="14" spans="1:7" ht="16.5">
      <c r="A14" s="39"/>
      <c r="B14" s="163" t="s">
        <v>98</v>
      </c>
      <c r="C14" s="163"/>
      <c r="D14" s="163"/>
      <c r="E14" s="163"/>
      <c r="F14" s="163"/>
      <c r="G14" s="164"/>
    </row>
    <row r="15" spans="1:7" ht="15.75">
      <c r="A15" s="40"/>
      <c r="B15" s="182" t="s">
        <v>427</v>
      </c>
      <c r="C15" s="182"/>
      <c r="D15" s="182"/>
      <c r="E15" s="182"/>
      <c r="F15" s="182"/>
      <c r="G15" s="183"/>
    </row>
    <row r="16" spans="1:7" ht="15.75">
      <c r="A16" s="115" t="s">
        <v>100</v>
      </c>
      <c r="B16" s="115"/>
      <c r="C16" s="115"/>
      <c r="D16" s="115"/>
      <c r="E16" s="115"/>
      <c r="F16" s="115"/>
      <c r="G16" s="115"/>
    </row>
    <row r="17" spans="1:7" ht="15.75">
      <c r="A17" s="110" t="s">
        <v>101</v>
      </c>
      <c r="B17" s="111"/>
      <c r="C17" s="208" t="s">
        <v>102</v>
      </c>
      <c r="D17" s="209"/>
      <c r="E17" s="209"/>
      <c r="F17" s="209"/>
      <c r="G17" s="210"/>
    </row>
    <row r="18" spans="1:7" ht="15.75">
      <c r="A18" s="110" t="s">
        <v>103</v>
      </c>
      <c r="B18" s="111"/>
      <c r="C18" s="208" t="s">
        <v>104</v>
      </c>
      <c r="D18" s="209"/>
      <c r="E18" s="209"/>
      <c r="F18" s="209"/>
      <c r="G18" s="210"/>
    </row>
    <row r="19" spans="1:7" ht="15.75">
      <c r="A19" s="110" t="s">
        <v>105</v>
      </c>
      <c r="B19" s="111"/>
      <c r="C19" s="208" t="s">
        <v>106</v>
      </c>
      <c r="D19" s="209"/>
      <c r="E19" s="209"/>
      <c r="F19" s="209"/>
      <c r="G19" s="210"/>
    </row>
    <row r="20" spans="1:7" ht="15.75">
      <c r="A20" s="110" t="s">
        <v>107</v>
      </c>
      <c r="B20" s="111"/>
      <c r="C20" s="208" t="s">
        <v>108</v>
      </c>
      <c r="D20" s="209"/>
      <c r="E20" s="209"/>
      <c r="F20" s="209"/>
      <c r="G20" s="210"/>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'E002'!B17</f>
        <v>185.189071</v>
      </c>
      <c r="F24" s="43">
        <f>'E002'!C17</f>
        <v>142.66509749000002</v>
      </c>
      <c r="G24" s="44">
        <f>F24/E24</f>
        <v>0.7703753613516426</v>
      </c>
    </row>
    <row r="25" spans="1:7" ht="15.75">
      <c r="A25" s="123" t="s">
        <v>114</v>
      </c>
      <c r="B25" s="124"/>
      <c r="C25" s="124"/>
      <c r="D25" s="125"/>
      <c r="E25" s="43">
        <f>'E002'!B18</f>
        <v>142.66509749</v>
      </c>
      <c r="F25" s="43">
        <f>'E002'!C18</f>
        <v>142.66509749000002</v>
      </c>
      <c r="G25" s="44">
        <f>F25/E25</f>
        <v>1.0000000000000002</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t="s">
        <v>39</v>
      </c>
    </row>
    <row r="30" spans="1:7" ht="15.75">
      <c r="A30" s="105"/>
      <c r="B30" s="105"/>
      <c r="C30" s="105"/>
      <c r="D30" s="105"/>
      <c r="E30" s="105"/>
      <c r="F30" s="45" t="s">
        <v>124</v>
      </c>
      <c r="G30" s="46" t="s">
        <v>39</v>
      </c>
    </row>
    <row r="31" spans="1:7" ht="65.25" customHeight="1">
      <c r="A31" s="100" t="s">
        <v>577</v>
      </c>
      <c r="B31" s="100" t="s">
        <v>578</v>
      </c>
      <c r="C31" s="100" t="s">
        <v>579</v>
      </c>
      <c r="D31" s="102" t="s">
        <v>282</v>
      </c>
      <c r="E31" s="102" t="s">
        <v>286</v>
      </c>
      <c r="F31" s="45" t="s">
        <v>130</v>
      </c>
      <c r="G31" s="47" t="s">
        <v>39</v>
      </c>
    </row>
    <row r="32" spans="1:7" ht="65.25" customHeight="1">
      <c r="A32" s="101"/>
      <c r="B32" s="101"/>
      <c r="C32" s="101"/>
      <c r="D32" s="103"/>
      <c r="E32" s="103"/>
      <c r="F32" s="45" t="s">
        <v>131</v>
      </c>
      <c r="G32" s="47" t="s">
        <v>39</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80</v>
      </c>
    </row>
    <row r="36" spans="1:7" ht="15.75">
      <c r="A36" s="105"/>
      <c r="B36" s="105"/>
      <c r="C36" s="105"/>
      <c r="D36" s="105"/>
      <c r="E36" s="105"/>
      <c r="F36" s="45" t="s">
        <v>124</v>
      </c>
      <c r="G36" s="46">
        <v>80</v>
      </c>
    </row>
    <row r="37" spans="1:7" ht="41.25" customHeight="1">
      <c r="A37" s="100" t="s">
        <v>580</v>
      </c>
      <c r="B37" s="100" t="s">
        <v>581</v>
      </c>
      <c r="C37" s="100" t="s">
        <v>582</v>
      </c>
      <c r="D37" s="102" t="s">
        <v>5</v>
      </c>
      <c r="E37" s="102" t="s">
        <v>129</v>
      </c>
      <c r="F37" s="45" t="s">
        <v>130</v>
      </c>
      <c r="G37" s="47">
        <f>(1/1)*100</f>
        <v>100</v>
      </c>
    </row>
    <row r="38" spans="1:7" ht="41.25" customHeight="1">
      <c r="A38" s="101"/>
      <c r="B38" s="101"/>
      <c r="C38" s="101"/>
      <c r="D38" s="103"/>
      <c r="E38" s="103"/>
      <c r="F38" s="45" t="s">
        <v>131</v>
      </c>
      <c r="G38" s="47">
        <v>125</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80</v>
      </c>
    </row>
    <row r="42" spans="1:7" ht="15.75">
      <c r="A42" s="105"/>
      <c r="B42" s="105"/>
      <c r="C42" s="105"/>
      <c r="D42" s="105"/>
      <c r="E42" s="105"/>
      <c r="F42" s="45" t="s">
        <v>124</v>
      </c>
      <c r="G42" s="46">
        <v>80</v>
      </c>
    </row>
    <row r="43" spans="1:7" ht="15.75" customHeight="1">
      <c r="A43" s="100" t="s">
        <v>583</v>
      </c>
      <c r="B43" s="100" t="s">
        <v>584</v>
      </c>
      <c r="C43" s="100" t="s">
        <v>585</v>
      </c>
      <c r="D43" s="102" t="s">
        <v>5</v>
      </c>
      <c r="E43" s="102" t="s">
        <v>142</v>
      </c>
      <c r="F43" s="45" t="s">
        <v>130</v>
      </c>
      <c r="G43" s="47">
        <f>(11/12)*100</f>
        <v>91.66666666666666</v>
      </c>
    </row>
    <row r="44" spans="1:7" ht="27">
      <c r="A44" s="101"/>
      <c r="B44" s="101"/>
      <c r="C44" s="101"/>
      <c r="D44" s="103"/>
      <c r="E44" s="103"/>
      <c r="F44" s="45" t="s">
        <v>131</v>
      </c>
      <c r="G44" s="47">
        <v>114.58333333333333</v>
      </c>
    </row>
    <row r="45" spans="1:7" ht="15.75" customHeight="1">
      <c r="A45" s="104" t="s">
        <v>119</v>
      </c>
      <c r="B45" s="104" t="s">
        <v>120</v>
      </c>
      <c r="C45" s="104" t="s">
        <v>65</v>
      </c>
      <c r="D45" s="104" t="s">
        <v>121</v>
      </c>
      <c r="E45" s="104" t="s">
        <v>122</v>
      </c>
      <c r="F45" s="45" t="s">
        <v>123</v>
      </c>
      <c r="G45" s="46">
        <v>80</v>
      </c>
    </row>
    <row r="46" spans="1:7" ht="15.75">
      <c r="A46" s="105"/>
      <c r="B46" s="105"/>
      <c r="C46" s="105"/>
      <c r="D46" s="105"/>
      <c r="E46" s="105"/>
      <c r="F46" s="45" t="s">
        <v>124</v>
      </c>
      <c r="G46" s="46">
        <v>80</v>
      </c>
    </row>
    <row r="47" spans="1:7" ht="31.5" customHeight="1">
      <c r="A47" s="100" t="s">
        <v>586</v>
      </c>
      <c r="B47" s="100" t="s">
        <v>587</v>
      </c>
      <c r="C47" s="100" t="s">
        <v>588</v>
      </c>
      <c r="D47" s="102" t="s">
        <v>5</v>
      </c>
      <c r="E47" s="102" t="s">
        <v>298</v>
      </c>
      <c r="F47" s="45" t="s">
        <v>130</v>
      </c>
      <c r="G47" s="47">
        <f>(1/1)*100</f>
        <v>100</v>
      </c>
    </row>
    <row r="48" spans="1:7" ht="31.5" customHeight="1">
      <c r="A48" s="101"/>
      <c r="B48" s="101"/>
      <c r="C48" s="101"/>
      <c r="D48" s="103"/>
      <c r="E48" s="103"/>
      <c r="F48" s="45" t="s">
        <v>131</v>
      </c>
      <c r="G48" s="47">
        <v>125</v>
      </c>
    </row>
    <row r="49" spans="1:7" ht="15.75">
      <c r="A49" s="96" t="s">
        <v>303</v>
      </c>
      <c r="B49" s="96"/>
      <c r="C49" s="96"/>
      <c r="D49" s="96"/>
      <c r="E49" s="96"/>
      <c r="F49" s="96"/>
      <c r="G49" s="96"/>
    </row>
    <row r="50" spans="1:7" ht="15.75">
      <c r="A50" s="106" t="s">
        <v>117</v>
      </c>
      <c r="B50" s="106"/>
      <c r="C50" s="106"/>
      <c r="D50" s="106"/>
      <c r="E50" s="106"/>
      <c r="F50" s="106" t="s">
        <v>118</v>
      </c>
      <c r="G50" s="106"/>
    </row>
    <row r="51" spans="1:7" ht="15.75" customHeight="1">
      <c r="A51" s="104" t="s">
        <v>119</v>
      </c>
      <c r="B51" s="104" t="s">
        <v>120</v>
      </c>
      <c r="C51" s="104" t="s">
        <v>65</v>
      </c>
      <c r="D51" s="104" t="s">
        <v>121</v>
      </c>
      <c r="E51" s="104" t="s">
        <v>122</v>
      </c>
      <c r="F51" s="45" t="s">
        <v>123</v>
      </c>
      <c r="G51" s="46">
        <v>95</v>
      </c>
    </row>
    <row r="52" spans="1:7" ht="15.75">
      <c r="A52" s="105"/>
      <c r="B52" s="105"/>
      <c r="C52" s="105"/>
      <c r="D52" s="105"/>
      <c r="E52" s="105"/>
      <c r="F52" s="45" t="s">
        <v>124</v>
      </c>
      <c r="G52" s="46">
        <v>95</v>
      </c>
    </row>
    <row r="53" spans="1:7" ht="15.75" customHeight="1">
      <c r="A53" s="100" t="s">
        <v>589</v>
      </c>
      <c r="B53" s="100" t="s">
        <v>590</v>
      </c>
      <c r="C53" s="100" t="s">
        <v>591</v>
      </c>
      <c r="D53" s="102" t="s">
        <v>5</v>
      </c>
      <c r="E53" s="102" t="s">
        <v>302</v>
      </c>
      <c r="F53" s="45" t="s">
        <v>130</v>
      </c>
      <c r="G53" s="47">
        <f>(45/47)*100</f>
        <v>95.74468085106383</v>
      </c>
    </row>
    <row r="54" spans="1:7" ht="27">
      <c r="A54" s="101"/>
      <c r="B54" s="101"/>
      <c r="C54" s="101"/>
      <c r="D54" s="103"/>
      <c r="E54" s="103"/>
      <c r="F54" s="45" t="s">
        <v>131</v>
      </c>
      <c r="G54" s="47">
        <v>100.78387458006719</v>
      </c>
    </row>
    <row r="55" spans="1:7" ht="15.75" customHeight="1">
      <c r="A55" s="104" t="s">
        <v>119</v>
      </c>
      <c r="B55" s="104" t="s">
        <v>120</v>
      </c>
      <c r="C55" s="104" t="s">
        <v>65</v>
      </c>
      <c r="D55" s="104" t="s">
        <v>121</v>
      </c>
      <c r="E55" s="104" t="s">
        <v>122</v>
      </c>
      <c r="F55" s="45" t="s">
        <v>123</v>
      </c>
      <c r="G55" s="46">
        <v>4</v>
      </c>
    </row>
    <row r="56" spans="1:7" ht="15.75">
      <c r="A56" s="105"/>
      <c r="B56" s="105"/>
      <c r="C56" s="105"/>
      <c r="D56" s="105"/>
      <c r="E56" s="105"/>
      <c r="F56" s="45" t="s">
        <v>124</v>
      </c>
      <c r="G56" s="46">
        <v>4</v>
      </c>
    </row>
    <row r="57" spans="1:7" ht="15.75" customHeight="1">
      <c r="A57" s="100" t="s">
        <v>592</v>
      </c>
      <c r="B57" s="100" t="s">
        <v>593</v>
      </c>
      <c r="C57" s="100" t="s">
        <v>594</v>
      </c>
      <c r="D57" s="102" t="s">
        <v>595</v>
      </c>
      <c r="E57" s="102" t="s">
        <v>167</v>
      </c>
      <c r="F57" s="45" t="s">
        <v>130</v>
      </c>
      <c r="G57" s="47">
        <v>4</v>
      </c>
    </row>
    <row r="58" spans="1:7" ht="27">
      <c r="A58" s="101"/>
      <c r="B58" s="101"/>
      <c r="C58" s="101"/>
      <c r="D58" s="103"/>
      <c r="E58" s="103"/>
      <c r="F58" s="45" t="s">
        <v>131</v>
      </c>
      <c r="G58" s="47">
        <v>100</v>
      </c>
    </row>
    <row r="59" spans="1:7" ht="15.75" customHeight="1">
      <c r="A59" s="104" t="s">
        <v>119</v>
      </c>
      <c r="B59" s="104" t="s">
        <v>120</v>
      </c>
      <c r="C59" s="104" t="s">
        <v>65</v>
      </c>
      <c r="D59" s="104" t="s">
        <v>121</v>
      </c>
      <c r="E59" s="104" t="s">
        <v>122</v>
      </c>
      <c r="F59" s="45" t="s">
        <v>123</v>
      </c>
      <c r="G59" s="46">
        <v>85</v>
      </c>
    </row>
    <row r="60" spans="1:7" ht="15.75">
      <c r="A60" s="105"/>
      <c r="B60" s="105"/>
      <c r="C60" s="105"/>
      <c r="D60" s="105"/>
      <c r="E60" s="105"/>
      <c r="F60" s="45" t="s">
        <v>124</v>
      </c>
      <c r="G60" s="46">
        <v>85</v>
      </c>
    </row>
    <row r="61" spans="1:7" ht="15.75" customHeight="1">
      <c r="A61" s="100" t="s">
        <v>596</v>
      </c>
      <c r="B61" s="100" t="s">
        <v>597</v>
      </c>
      <c r="C61" s="100" t="s">
        <v>598</v>
      </c>
      <c r="D61" s="102" t="s">
        <v>5</v>
      </c>
      <c r="E61" s="102" t="s">
        <v>167</v>
      </c>
      <c r="F61" s="45" t="s">
        <v>130</v>
      </c>
      <c r="G61" s="47">
        <f>(7/8)*100</f>
        <v>87.5</v>
      </c>
    </row>
    <row r="62" spans="1:7" ht="27">
      <c r="A62" s="101"/>
      <c r="B62" s="101"/>
      <c r="C62" s="101"/>
      <c r="D62" s="103"/>
      <c r="E62" s="103"/>
      <c r="F62" s="45" t="s">
        <v>131</v>
      </c>
      <c r="G62" s="47">
        <v>102.94117647058823</v>
      </c>
    </row>
    <row r="63" spans="1:7" ht="15.75" customHeight="1">
      <c r="A63" s="104" t="s">
        <v>119</v>
      </c>
      <c r="B63" s="104" t="s">
        <v>120</v>
      </c>
      <c r="C63" s="104" t="s">
        <v>65</v>
      </c>
      <c r="D63" s="104" t="s">
        <v>121</v>
      </c>
      <c r="E63" s="104" t="s">
        <v>122</v>
      </c>
      <c r="F63" s="45" t="s">
        <v>123</v>
      </c>
      <c r="G63" s="46">
        <v>3</v>
      </c>
    </row>
    <row r="64" spans="1:7" ht="15.75">
      <c r="A64" s="105"/>
      <c r="B64" s="105"/>
      <c r="C64" s="105"/>
      <c r="D64" s="105"/>
      <c r="E64" s="105"/>
      <c r="F64" s="45" t="s">
        <v>124</v>
      </c>
      <c r="G64" s="46">
        <v>3</v>
      </c>
    </row>
    <row r="65" spans="1:7" ht="15.75" customHeight="1">
      <c r="A65" s="100" t="s">
        <v>599</v>
      </c>
      <c r="B65" s="100" t="s">
        <v>600</v>
      </c>
      <c r="C65" s="100" t="s">
        <v>599</v>
      </c>
      <c r="D65" s="102" t="s">
        <v>601</v>
      </c>
      <c r="E65" s="102" t="s">
        <v>167</v>
      </c>
      <c r="F65" s="45" t="s">
        <v>130</v>
      </c>
      <c r="G65" s="47">
        <v>3</v>
      </c>
    </row>
    <row r="66" spans="1:7" ht="27">
      <c r="A66" s="101"/>
      <c r="B66" s="101"/>
      <c r="C66" s="101"/>
      <c r="D66" s="103"/>
      <c r="E66" s="103"/>
      <c r="F66" s="45" t="s">
        <v>131</v>
      </c>
      <c r="G66" s="47">
        <v>100</v>
      </c>
    </row>
    <row r="67" spans="1:7" ht="15.75" customHeight="1">
      <c r="A67" s="104" t="s">
        <v>119</v>
      </c>
      <c r="B67" s="104" t="s">
        <v>120</v>
      </c>
      <c r="C67" s="104" t="s">
        <v>65</v>
      </c>
      <c r="D67" s="104" t="s">
        <v>121</v>
      </c>
      <c r="E67" s="104" t="s">
        <v>122</v>
      </c>
      <c r="F67" s="45" t="s">
        <v>123</v>
      </c>
      <c r="G67" s="46">
        <v>80</v>
      </c>
    </row>
    <row r="68" spans="1:7" ht="15.75">
      <c r="A68" s="105"/>
      <c r="B68" s="105"/>
      <c r="C68" s="105"/>
      <c r="D68" s="105"/>
      <c r="E68" s="105"/>
      <c r="F68" s="45" t="s">
        <v>124</v>
      </c>
      <c r="G68" s="46">
        <v>80</v>
      </c>
    </row>
    <row r="69" spans="1:7" ht="15.75" customHeight="1">
      <c r="A69" s="100" t="s">
        <v>602</v>
      </c>
      <c r="B69" s="100" t="s">
        <v>603</v>
      </c>
      <c r="C69" s="100" t="s">
        <v>604</v>
      </c>
      <c r="D69" s="102" t="s">
        <v>5</v>
      </c>
      <c r="E69" s="102" t="s">
        <v>298</v>
      </c>
      <c r="F69" s="45" t="s">
        <v>130</v>
      </c>
      <c r="G69" s="47">
        <f>(7/8)*100</f>
        <v>87.5</v>
      </c>
    </row>
    <row r="70" spans="1:7" ht="27">
      <c r="A70" s="101"/>
      <c r="B70" s="101"/>
      <c r="C70" s="101"/>
      <c r="D70" s="103"/>
      <c r="E70" s="103"/>
      <c r="F70" s="45" t="s">
        <v>131</v>
      </c>
      <c r="G70" s="47">
        <v>109.375</v>
      </c>
    </row>
    <row r="71" spans="1:7" ht="15.75" customHeight="1">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29.25" customHeight="1">
      <c r="A73" s="100" t="s">
        <v>605</v>
      </c>
      <c r="B73" s="100" t="s">
        <v>606</v>
      </c>
      <c r="C73" s="100" t="s">
        <v>607</v>
      </c>
      <c r="D73" s="102" t="s">
        <v>5</v>
      </c>
      <c r="E73" s="102" t="s">
        <v>298</v>
      </c>
      <c r="F73" s="45" t="s">
        <v>130</v>
      </c>
      <c r="G73" s="47">
        <f>(23/24)*100</f>
        <v>95.83333333333334</v>
      </c>
    </row>
    <row r="74" spans="1:7" ht="29.25" customHeight="1">
      <c r="A74" s="101"/>
      <c r="B74" s="101"/>
      <c r="C74" s="101"/>
      <c r="D74" s="103"/>
      <c r="E74" s="103"/>
      <c r="F74" s="45" t="s">
        <v>131</v>
      </c>
      <c r="G74" s="47">
        <v>95.83333333333334</v>
      </c>
    </row>
    <row r="75" spans="1:7" ht="15.75" customHeight="1">
      <c r="A75" s="104" t="s">
        <v>119</v>
      </c>
      <c r="B75" s="104" t="s">
        <v>120</v>
      </c>
      <c r="C75" s="104" t="s">
        <v>65</v>
      </c>
      <c r="D75" s="104" t="s">
        <v>121</v>
      </c>
      <c r="E75" s="104" t="s">
        <v>122</v>
      </c>
      <c r="F75" s="45" t="s">
        <v>123</v>
      </c>
      <c r="G75" s="46">
        <v>80</v>
      </c>
    </row>
    <row r="76" spans="1:7" ht="15.75">
      <c r="A76" s="105"/>
      <c r="B76" s="105"/>
      <c r="C76" s="105"/>
      <c r="D76" s="105"/>
      <c r="E76" s="105"/>
      <c r="F76" s="45" t="s">
        <v>124</v>
      </c>
      <c r="G76" s="46">
        <v>80</v>
      </c>
    </row>
    <row r="77" spans="1:7" ht="33.75" customHeight="1">
      <c r="A77" s="100" t="s">
        <v>608</v>
      </c>
      <c r="B77" s="100" t="s">
        <v>609</v>
      </c>
      <c r="C77" s="100" t="s">
        <v>610</v>
      </c>
      <c r="D77" s="102" t="s">
        <v>5</v>
      </c>
      <c r="E77" s="102" t="s">
        <v>142</v>
      </c>
      <c r="F77" s="45" t="s">
        <v>130</v>
      </c>
      <c r="G77" s="47">
        <f>(4/5)*100</f>
        <v>80</v>
      </c>
    </row>
    <row r="78" spans="1:7" ht="33.75" customHeight="1">
      <c r="A78" s="101"/>
      <c r="B78" s="101"/>
      <c r="C78" s="101"/>
      <c r="D78" s="103"/>
      <c r="E78" s="103"/>
      <c r="F78" s="45" t="s">
        <v>131</v>
      </c>
      <c r="G78" s="47">
        <v>100</v>
      </c>
    </row>
    <row r="79" spans="1:7" ht="15.75" customHeight="1">
      <c r="A79" s="104" t="s">
        <v>119</v>
      </c>
      <c r="B79" s="104" t="s">
        <v>120</v>
      </c>
      <c r="C79" s="104" t="s">
        <v>65</v>
      </c>
      <c r="D79" s="104" t="s">
        <v>121</v>
      </c>
      <c r="E79" s="104" t="s">
        <v>122</v>
      </c>
      <c r="F79" s="45" t="s">
        <v>123</v>
      </c>
      <c r="G79" s="46">
        <v>80</v>
      </c>
    </row>
    <row r="80" spans="1:7" ht="15.75">
      <c r="A80" s="105"/>
      <c r="B80" s="105"/>
      <c r="C80" s="105"/>
      <c r="D80" s="105"/>
      <c r="E80" s="105"/>
      <c r="F80" s="45" t="s">
        <v>124</v>
      </c>
      <c r="G80" s="46">
        <v>80</v>
      </c>
    </row>
    <row r="81" spans="1:7" ht="15.75" customHeight="1">
      <c r="A81" s="100" t="s">
        <v>611</v>
      </c>
      <c r="B81" s="100" t="s">
        <v>612</v>
      </c>
      <c r="C81" s="100" t="s">
        <v>613</v>
      </c>
      <c r="D81" s="102" t="s">
        <v>5</v>
      </c>
      <c r="E81" s="102" t="s">
        <v>142</v>
      </c>
      <c r="F81" s="45" t="s">
        <v>130</v>
      </c>
      <c r="G81" s="47">
        <f>(13/15)*100</f>
        <v>86.66666666666667</v>
      </c>
    </row>
    <row r="82" spans="1:7" ht="27">
      <c r="A82" s="101"/>
      <c r="B82" s="101"/>
      <c r="C82" s="101"/>
      <c r="D82" s="103"/>
      <c r="E82" s="103"/>
      <c r="F82" s="45" t="s">
        <v>131</v>
      </c>
      <c r="G82" s="47">
        <v>108.33333333333334</v>
      </c>
    </row>
    <row r="83" spans="1:7" ht="15.75" customHeight="1">
      <c r="A83" s="104" t="s">
        <v>119</v>
      </c>
      <c r="B83" s="104" t="s">
        <v>120</v>
      </c>
      <c r="C83" s="104" t="s">
        <v>65</v>
      </c>
      <c r="D83" s="104" t="s">
        <v>121</v>
      </c>
      <c r="E83" s="104" t="s">
        <v>122</v>
      </c>
      <c r="F83" s="45" t="s">
        <v>123</v>
      </c>
      <c r="G83" s="46">
        <v>100</v>
      </c>
    </row>
    <row r="84" spans="1:7" ht="15.75">
      <c r="A84" s="105"/>
      <c r="B84" s="105"/>
      <c r="C84" s="105"/>
      <c r="D84" s="105"/>
      <c r="E84" s="105"/>
      <c r="F84" s="45" t="s">
        <v>124</v>
      </c>
      <c r="G84" s="46">
        <v>100</v>
      </c>
    </row>
    <row r="85" spans="1:7" ht="33.75" customHeight="1">
      <c r="A85" s="100" t="s">
        <v>614</v>
      </c>
      <c r="B85" s="100" t="s">
        <v>615</v>
      </c>
      <c r="C85" s="100" t="s">
        <v>616</v>
      </c>
      <c r="D85" s="102" t="s">
        <v>5</v>
      </c>
      <c r="E85" s="102" t="s">
        <v>167</v>
      </c>
      <c r="F85" s="45" t="s">
        <v>130</v>
      </c>
      <c r="G85" s="47">
        <f>(100*37/100)+(100*11.5/100)+(100*26.5/100)</f>
        <v>75</v>
      </c>
    </row>
    <row r="86" spans="1:7" ht="33.75" customHeight="1">
      <c r="A86" s="101"/>
      <c r="B86" s="101"/>
      <c r="C86" s="101"/>
      <c r="D86" s="103"/>
      <c r="E86" s="103"/>
      <c r="F86" s="45" t="s">
        <v>131</v>
      </c>
      <c r="G86" s="47">
        <v>75</v>
      </c>
    </row>
    <row r="87" spans="1:7" ht="15.75" customHeight="1">
      <c r="A87" s="104" t="s">
        <v>119</v>
      </c>
      <c r="B87" s="104" t="s">
        <v>120</v>
      </c>
      <c r="C87" s="104" t="s">
        <v>65</v>
      </c>
      <c r="D87" s="104" t="s">
        <v>121</v>
      </c>
      <c r="E87" s="104" t="s">
        <v>122</v>
      </c>
      <c r="F87" s="45" t="s">
        <v>123</v>
      </c>
      <c r="G87" s="46">
        <v>100</v>
      </c>
    </row>
    <row r="88" spans="1:7" ht="15.75">
      <c r="A88" s="105"/>
      <c r="B88" s="105"/>
      <c r="C88" s="105"/>
      <c r="D88" s="105"/>
      <c r="E88" s="105"/>
      <c r="F88" s="45" t="s">
        <v>124</v>
      </c>
      <c r="G88" s="46">
        <v>100</v>
      </c>
    </row>
    <row r="89" spans="1:7" ht="15.75" customHeight="1">
      <c r="A89" s="100" t="s">
        <v>617</v>
      </c>
      <c r="B89" s="100" t="s">
        <v>615</v>
      </c>
      <c r="C89" s="100" t="s">
        <v>618</v>
      </c>
      <c r="D89" s="102" t="s">
        <v>5</v>
      </c>
      <c r="E89" s="102" t="s">
        <v>167</v>
      </c>
      <c r="F89" s="45" t="s">
        <v>130</v>
      </c>
      <c r="G89" s="47">
        <f>(0/1900000)*100</f>
        <v>0</v>
      </c>
    </row>
    <row r="90" spans="1:7" ht="27">
      <c r="A90" s="101"/>
      <c r="B90" s="101"/>
      <c r="C90" s="101"/>
      <c r="D90" s="103"/>
      <c r="E90" s="103"/>
      <c r="F90" s="45" t="s">
        <v>131</v>
      </c>
      <c r="G90" s="47">
        <v>0</v>
      </c>
    </row>
    <row r="91" spans="1:7" ht="15.75">
      <c r="A91" s="96" t="s">
        <v>192</v>
      </c>
      <c r="B91" s="96"/>
      <c r="C91" s="96"/>
      <c r="D91" s="96"/>
      <c r="E91" s="96"/>
      <c r="F91" s="96"/>
      <c r="G91" s="96"/>
    </row>
    <row r="92" spans="1:7" ht="31.5" customHeight="1">
      <c r="A92" s="99" t="str">
        <f>+A31</f>
        <v>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v>
      </c>
      <c r="B92" s="99"/>
      <c r="C92" s="99"/>
      <c r="D92" s="99"/>
      <c r="E92" s="99"/>
      <c r="F92" s="99"/>
      <c r="G92" s="99"/>
    </row>
    <row r="93" spans="1:7" ht="15.75">
      <c r="A93" s="48" t="s">
        <v>193</v>
      </c>
      <c r="B93" s="98" t="s">
        <v>323</v>
      </c>
      <c r="C93" s="98"/>
      <c r="D93" s="98"/>
      <c r="E93" s="98"/>
      <c r="F93" s="98"/>
      <c r="G93" s="98"/>
    </row>
    <row r="94" spans="1:7" ht="15.75">
      <c r="A94" s="49" t="s">
        <v>6</v>
      </c>
      <c r="B94" s="98" t="s">
        <v>323</v>
      </c>
      <c r="C94" s="98"/>
      <c r="D94" s="98"/>
      <c r="E94" s="98"/>
      <c r="F94" s="98"/>
      <c r="G94" s="98"/>
    </row>
    <row r="95" spans="1:7" ht="15.75">
      <c r="A95" s="49" t="s">
        <v>195</v>
      </c>
      <c r="B95" s="95" t="s">
        <v>259</v>
      </c>
      <c r="C95" s="95"/>
      <c r="D95" s="95"/>
      <c r="E95" s="95"/>
      <c r="F95" s="95"/>
      <c r="G95" s="95"/>
    </row>
    <row r="96" spans="1:7" ht="15.75">
      <c r="A96" s="99" t="str">
        <f>+A37</f>
        <v>Porcentaje de sujetos obligados que adoptan el MGD-RTA y aplican mejores prácticas en materia de gestión documental para facilitar el acceso a la información</v>
      </c>
      <c r="B96" s="99"/>
      <c r="C96" s="99"/>
      <c r="D96" s="99"/>
      <c r="E96" s="99"/>
      <c r="F96" s="99"/>
      <c r="G96" s="99"/>
    </row>
    <row r="97" spans="1:7" ht="31.5" customHeight="1">
      <c r="A97" s="48" t="s">
        <v>193</v>
      </c>
      <c r="B97" s="98" t="s">
        <v>619</v>
      </c>
      <c r="C97" s="98"/>
      <c r="D97" s="98"/>
      <c r="E97" s="98"/>
      <c r="F97" s="98"/>
      <c r="G97" s="98"/>
    </row>
    <row r="98" spans="1:7" ht="31.5" customHeight="1">
      <c r="A98" s="49" t="s">
        <v>6</v>
      </c>
      <c r="B98" s="98" t="s">
        <v>620</v>
      </c>
      <c r="C98" s="98"/>
      <c r="D98" s="98"/>
      <c r="E98" s="98"/>
      <c r="F98" s="98"/>
      <c r="G98" s="98"/>
    </row>
    <row r="99" spans="1:7" ht="15.75">
      <c r="A99" s="49" t="s">
        <v>195</v>
      </c>
      <c r="B99" s="95" t="s">
        <v>621</v>
      </c>
      <c r="C99" s="95"/>
      <c r="D99" s="95"/>
      <c r="E99" s="95"/>
      <c r="F99" s="95"/>
      <c r="G99" s="95"/>
    </row>
    <row r="100" spans="1:7" ht="15.75">
      <c r="A100" s="99" t="str">
        <f>+A43</f>
        <v>Porcentaje de cumplimiento de la estrategia de vinculación nacional y la Agenda Internacional del INAI.</v>
      </c>
      <c r="B100" s="99"/>
      <c r="C100" s="99"/>
      <c r="D100" s="99"/>
      <c r="E100" s="99"/>
      <c r="F100" s="99"/>
      <c r="G100" s="99"/>
    </row>
    <row r="101" spans="1:7" ht="126.75" customHeight="1">
      <c r="A101" s="49" t="s">
        <v>193</v>
      </c>
      <c r="B101" s="94" t="s">
        <v>622</v>
      </c>
      <c r="C101" s="94"/>
      <c r="D101" s="94"/>
      <c r="E101" s="94"/>
      <c r="F101" s="94"/>
      <c r="G101" s="94"/>
    </row>
    <row r="102" spans="1:7" ht="15.75">
      <c r="A102" s="49" t="s">
        <v>6</v>
      </c>
      <c r="B102" s="94" t="s">
        <v>623</v>
      </c>
      <c r="C102" s="94"/>
      <c r="D102" s="94"/>
      <c r="E102" s="94"/>
      <c r="F102" s="94"/>
      <c r="G102" s="94"/>
    </row>
    <row r="103" spans="1:7" ht="15.75">
      <c r="A103" s="49" t="s">
        <v>195</v>
      </c>
      <c r="B103" s="95" t="s">
        <v>259</v>
      </c>
      <c r="C103" s="95"/>
      <c r="D103" s="95"/>
      <c r="E103" s="95"/>
      <c r="F103" s="95"/>
      <c r="G103" s="95"/>
    </row>
    <row r="104" spans="1:7" ht="15.75">
      <c r="A104" s="99" t="str">
        <f>+A47</f>
        <v>Porcentaje de sujetos obligados que adoptan el MGD-RTA y cumplen el nivel INICIAL del Modelo </v>
      </c>
      <c r="B104" s="99"/>
      <c r="C104" s="99"/>
      <c r="D104" s="99"/>
      <c r="E104" s="99"/>
      <c r="F104" s="99"/>
      <c r="G104" s="99"/>
    </row>
    <row r="105" spans="1:7" ht="31.5" customHeight="1">
      <c r="A105" s="49" t="s">
        <v>193</v>
      </c>
      <c r="B105" s="94" t="s">
        <v>624</v>
      </c>
      <c r="C105" s="94"/>
      <c r="D105" s="94"/>
      <c r="E105" s="94"/>
      <c r="F105" s="94"/>
      <c r="G105" s="94"/>
    </row>
    <row r="106" spans="1:7" ht="15.75">
      <c r="A106" s="49" t="s">
        <v>6</v>
      </c>
      <c r="B106" s="94" t="s">
        <v>620</v>
      </c>
      <c r="C106" s="94"/>
      <c r="D106" s="94"/>
      <c r="E106" s="94"/>
      <c r="F106" s="94"/>
      <c r="G106" s="94"/>
    </row>
    <row r="107" spans="1:7" ht="15.75">
      <c r="A107" s="49" t="s">
        <v>195</v>
      </c>
      <c r="B107" s="95" t="s">
        <v>621</v>
      </c>
      <c r="C107" s="95"/>
      <c r="D107" s="95"/>
      <c r="E107" s="95"/>
      <c r="F107" s="95"/>
      <c r="G107" s="95"/>
    </row>
    <row r="108" spans="1:7" ht="15.75">
      <c r="A108" s="99" t="str">
        <f>+A53</f>
        <v>Porcentaje de satisfacción en la organización de seminarios y eventos en gestión documental</v>
      </c>
      <c r="B108" s="99"/>
      <c r="C108" s="99"/>
      <c r="D108" s="99"/>
      <c r="E108" s="99"/>
      <c r="F108" s="99"/>
      <c r="G108" s="99"/>
    </row>
    <row r="109" spans="1:7" ht="15.75">
      <c r="A109" s="49" t="s">
        <v>193</v>
      </c>
      <c r="B109" s="94" t="s">
        <v>625</v>
      </c>
      <c r="C109" s="94"/>
      <c r="D109" s="94"/>
      <c r="E109" s="94"/>
      <c r="F109" s="94"/>
      <c r="G109" s="94"/>
    </row>
    <row r="110" spans="1:7" ht="15.75">
      <c r="A110" s="49" t="s">
        <v>6</v>
      </c>
      <c r="B110" s="94" t="s">
        <v>626</v>
      </c>
      <c r="C110" s="94"/>
      <c r="D110" s="94"/>
      <c r="E110" s="94"/>
      <c r="F110" s="94"/>
      <c r="G110" s="94"/>
    </row>
    <row r="111" spans="1:7" ht="15.75">
      <c r="A111" s="49" t="s">
        <v>195</v>
      </c>
      <c r="B111" s="95" t="s">
        <v>259</v>
      </c>
      <c r="C111" s="95"/>
      <c r="D111" s="95"/>
      <c r="E111" s="95"/>
      <c r="F111" s="95"/>
      <c r="G111" s="95"/>
    </row>
    <row r="112" spans="1:7" ht="15.75">
      <c r="A112" s="99" t="str">
        <f>+A57</f>
        <v>Número de adhesiones a organismos nacionales e internacionales realizadas</v>
      </c>
      <c r="B112" s="99"/>
      <c r="C112" s="99"/>
      <c r="D112" s="99"/>
      <c r="E112" s="99"/>
      <c r="F112" s="99"/>
      <c r="G112" s="99"/>
    </row>
    <row r="113" spans="1:7" ht="15.75">
      <c r="A113" s="49" t="s">
        <v>193</v>
      </c>
      <c r="B113" s="94" t="s">
        <v>627</v>
      </c>
      <c r="C113" s="94"/>
      <c r="D113" s="94"/>
      <c r="E113" s="94"/>
      <c r="F113" s="94"/>
      <c r="G113" s="94"/>
    </row>
    <row r="114" spans="1:7" ht="15.75">
      <c r="A114" s="49" t="s">
        <v>6</v>
      </c>
      <c r="B114" s="94" t="s">
        <v>628</v>
      </c>
      <c r="C114" s="94"/>
      <c r="D114" s="94"/>
      <c r="E114" s="94"/>
      <c r="F114" s="94"/>
      <c r="G114" s="94"/>
    </row>
    <row r="115" spans="1:7" ht="15.75">
      <c r="A115" s="49" t="s">
        <v>195</v>
      </c>
      <c r="B115" s="95" t="s">
        <v>259</v>
      </c>
      <c r="C115" s="95"/>
      <c r="D115" s="95"/>
      <c r="E115" s="95"/>
      <c r="F115" s="95"/>
      <c r="G115" s="95"/>
    </row>
    <row r="116" spans="1:7" ht="15.75">
      <c r="A116" s="99" t="str">
        <f>+A61</f>
        <v>Porcentaje de participaciones en foros y eventos</v>
      </c>
      <c r="B116" s="99"/>
      <c r="C116" s="99"/>
      <c r="D116" s="99"/>
      <c r="E116" s="99"/>
      <c r="F116" s="99"/>
      <c r="G116" s="99"/>
    </row>
    <row r="117" spans="1:7" ht="120.75" customHeight="1">
      <c r="A117" s="49" t="s">
        <v>193</v>
      </c>
      <c r="B117" s="94" t="s">
        <v>629</v>
      </c>
      <c r="C117" s="94"/>
      <c r="D117" s="94"/>
      <c r="E117" s="94"/>
      <c r="F117" s="94"/>
      <c r="G117" s="94"/>
    </row>
    <row r="118" spans="1:7" ht="15.75">
      <c r="A118" s="49" t="s">
        <v>6</v>
      </c>
      <c r="B118" s="94" t="s">
        <v>623</v>
      </c>
      <c r="C118" s="94"/>
      <c r="D118" s="94"/>
      <c r="E118" s="94"/>
      <c r="F118" s="94"/>
      <c r="G118" s="94"/>
    </row>
    <row r="119" spans="1:7" ht="15.75">
      <c r="A119" s="49" t="s">
        <v>195</v>
      </c>
      <c r="B119" s="95" t="s">
        <v>259</v>
      </c>
      <c r="C119" s="95"/>
      <c r="D119" s="95"/>
      <c r="E119" s="95"/>
      <c r="F119" s="95"/>
      <c r="G119" s="95"/>
    </row>
    <row r="120" spans="1:7" ht="15.75">
      <c r="A120" s="99" t="str">
        <f>+A65</f>
        <v>Número de Investigaciones realizadas.</v>
      </c>
      <c r="B120" s="99"/>
      <c r="C120" s="99"/>
      <c r="D120" s="99"/>
      <c r="E120" s="99"/>
      <c r="F120" s="99"/>
      <c r="G120" s="99"/>
    </row>
    <row r="121" spans="1:7" ht="54" customHeight="1">
      <c r="A121" s="49" t="s">
        <v>193</v>
      </c>
      <c r="B121" s="94" t="s">
        <v>630</v>
      </c>
      <c r="C121" s="94"/>
      <c r="D121" s="94"/>
      <c r="E121" s="94"/>
      <c r="F121" s="94"/>
      <c r="G121" s="94"/>
    </row>
    <row r="122" spans="1:7" ht="15.75">
      <c r="A122" s="49" t="s">
        <v>6</v>
      </c>
      <c r="B122" s="94" t="s">
        <v>628</v>
      </c>
      <c r="C122" s="94"/>
      <c r="D122" s="94"/>
      <c r="E122" s="94"/>
      <c r="F122" s="94"/>
      <c r="G122" s="94"/>
    </row>
    <row r="123" spans="1:7" ht="15.75">
      <c r="A123" s="49" t="s">
        <v>195</v>
      </c>
      <c r="B123" s="95"/>
      <c r="C123" s="95"/>
      <c r="D123" s="95"/>
      <c r="E123" s="95"/>
      <c r="F123" s="95"/>
      <c r="G123" s="95"/>
    </row>
    <row r="124" spans="1:7" ht="15.75">
      <c r="A124" s="99" t="str">
        <f>+A69</f>
        <v>Porcentaje de publicaciones en materia de gestión documental y archivos</v>
      </c>
      <c r="B124" s="99"/>
      <c r="C124" s="99"/>
      <c r="D124" s="99"/>
      <c r="E124" s="99"/>
      <c r="F124" s="99"/>
      <c r="G124" s="99"/>
    </row>
    <row r="125" spans="1:7" ht="31.5" customHeight="1">
      <c r="A125" s="49" t="s">
        <v>193</v>
      </c>
      <c r="B125" s="94" t="s">
        <v>631</v>
      </c>
      <c r="C125" s="94"/>
      <c r="D125" s="94"/>
      <c r="E125" s="94"/>
      <c r="F125" s="94"/>
      <c r="G125" s="94"/>
    </row>
    <row r="126" spans="1:7" ht="15.75">
      <c r="A126" s="49" t="s">
        <v>6</v>
      </c>
      <c r="B126" s="94" t="s">
        <v>632</v>
      </c>
      <c r="C126" s="94"/>
      <c r="D126" s="94"/>
      <c r="E126" s="94"/>
      <c r="F126" s="94"/>
      <c r="G126" s="94"/>
    </row>
    <row r="127" spans="1:7" ht="15.75">
      <c r="A127" s="49" t="s">
        <v>195</v>
      </c>
      <c r="B127" s="95" t="s">
        <v>259</v>
      </c>
      <c r="C127" s="95"/>
      <c r="D127" s="95"/>
      <c r="E127" s="95"/>
      <c r="F127" s="95"/>
      <c r="G127" s="95"/>
    </row>
    <row r="128" spans="1:7" ht="15.75">
      <c r="A128" s="99" t="str">
        <f>+A73</f>
        <v>Porcentaje de acciones de organización y conservación de archivos</v>
      </c>
      <c r="B128" s="99"/>
      <c r="C128" s="99"/>
      <c r="D128" s="99"/>
      <c r="E128" s="99"/>
      <c r="F128" s="99"/>
      <c r="G128" s="99"/>
    </row>
    <row r="129" spans="1:7" ht="15.75">
      <c r="A129" s="49" t="s">
        <v>193</v>
      </c>
      <c r="B129" s="94" t="s">
        <v>633</v>
      </c>
      <c r="C129" s="94"/>
      <c r="D129" s="94"/>
      <c r="E129" s="94"/>
      <c r="F129" s="94"/>
      <c r="G129" s="94"/>
    </row>
    <row r="130" spans="1:7" ht="15.75">
      <c r="A130" s="49" t="s">
        <v>6</v>
      </c>
      <c r="B130" s="94" t="s">
        <v>634</v>
      </c>
      <c r="C130" s="94"/>
      <c r="D130" s="94"/>
      <c r="E130" s="94"/>
      <c r="F130" s="94"/>
      <c r="G130" s="94"/>
    </row>
    <row r="131" spans="1:7" ht="15.75">
      <c r="A131" s="49" t="s">
        <v>195</v>
      </c>
      <c r="B131" s="95" t="s">
        <v>259</v>
      </c>
      <c r="C131" s="95"/>
      <c r="D131" s="95"/>
      <c r="E131" s="95"/>
      <c r="F131" s="95"/>
      <c r="G131" s="95"/>
    </row>
    <row r="132" spans="1:7" ht="15.75">
      <c r="A132" s="99" t="str">
        <f>+A77</f>
        <v>Porcentaje de avance en las acciones de implantación del Modelo de Gestión Documental de la RTA en los sujetos obligados participantes </v>
      </c>
      <c r="B132" s="99"/>
      <c r="C132" s="99"/>
      <c r="D132" s="99"/>
      <c r="E132" s="99"/>
      <c r="F132" s="99"/>
      <c r="G132" s="99"/>
    </row>
    <row r="133" spans="1:7" ht="15.75">
      <c r="A133" s="49" t="s">
        <v>193</v>
      </c>
      <c r="B133" s="94" t="s">
        <v>635</v>
      </c>
      <c r="C133" s="94"/>
      <c r="D133" s="94"/>
      <c r="E133" s="94"/>
      <c r="F133" s="94"/>
      <c r="G133" s="94"/>
    </row>
    <row r="134" spans="1:7" ht="15.75">
      <c r="A134" s="49" t="s">
        <v>6</v>
      </c>
      <c r="B134" s="94" t="s">
        <v>636</v>
      </c>
      <c r="C134" s="94"/>
      <c r="D134" s="94"/>
      <c r="E134" s="94"/>
      <c r="F134" s="94"/>
      <c r="G134" s="94"/>
    </row>
    <row r="135" spans="1:7" ht="15.75">
      <c r="A135" s="49" t="s">
        <v>195</v>
      </c>
      <c r="B135" s="95"/>
      <c r="C135" s="95"/>
      <c r="D135" s="95"/>
      <c r="E135" s="95"/>
      <c r="F135" s="95"/>
      <c r="G135" s="95"/>
    </row>
    <row r="136" spans="1:7" ht="15.75">
      <c r="A136" s="99" t="str">
        <f>+A81</f>
        <v>Porcentaje de avance en las acciones de asesoría y acompañamiento del Sistema Institucional de Archivos</v>
      </c>
      <c r="B136" s="99"/>
      <c r="C136" s="99"/>
      <c r="D136" s="99"/>
      <c r="E136" s="99"/>
      <c r="F136" s="99"/>
      <c r="G136" s="99"/>
    </row>
    <row r="137" spans="1:7" ht="60.75" customHeight="1">
      <c r="A137" s="49" t="s">
        <v>193</v>
      </c>
      <c r="B137" s="94" t="s">
        <v>637</v>
      </c>
      <c r="C137" s="94"/>
      <c r="D137" s="94"/>
      <c r="E137" s="94"/>
      <c r="F137" s="94"/>
      <c r="G137" s="94"/>
    </row>
    <row r="138" spans="1:7" ht="15.75">
      <c r="A138" s="49" t="s">
        <v>6</v>
      </c>
      <c r="B138" s="94" t="s">
        <v>638</v>
      </c>
      <c r="C138" s="94"/>
      <c r="D138" s="94"/>
      <c r="E138" s="94"/>
      <c r="F138" s="94"/>
      <c r="G138" s="94"/>
    </row>
    <row r="139" spans="1:7" ht="15.75">
      <c r="A139" s="49" t="s">
        <v>195</v>
      </c>
      <c r="B139" s="95"/>
      <c r="C139" s="95"/>
      <c r="D139" s="95"/>
      <c r="E139" s="95"/>
      <c r="F139" s="95"/>
      <c r="G139" s="95"/>
    </row>
    <row r="140" spans="1:7" ht="15.75">
      <c r="A140" s="99" t="str">
        <f>+A85</f>
        <v>Porcentaje de avance del Proyecto </v>
      </c>
      <c r="B140" s="99"/>
      <c r="C140" s="99"/>
      <c r="D140" s="99"/>
      <c r="E140" s="99"/>
      <c r="F140" s="99"/>
      <c r="G140" s="99"/>
    </row>
    <row r="141" spans="1:7" ht="15.75">
      <c r="A141" s="49" t="s">
        <v>193</v>
      </c>
      <c r="B141" s="94" t="s">
        <v>639</v>
      </c>
      <c r="C141" s="94"/>
      <c r="D141" s="94"/>
      <c r="E141" s="94"/>
      <c r="F141" s="94"/>
      <c r="G141" s="94"/>
    </row>
    <row r="142" spans="1:7" ht="15.75">
      <c r="A142" s="49" t="s">
        <v>6</v>
      </c>
      <c r="B142" s="94" t="s">
        <v>640</v>
      </c>
      <c r="C142" s="94"/>
      <c r="D142" s="94"/>
      <c r="E142" s="94"/>
      <c r="F142" s="94"/>
      <c r="G142" s="94"/>
    </row>
    <row r="143" spans="1:7" ht="15.75">
      <c r="A143" s="49" t="s">
        <v>195</v>
      </c>
      <c r="B143" s="95" t="s">
        <v>259</v>
      </c>
      <c r="C143" s="95"/>
      <c r="D143" s="95"/>
      <c r="E143" s="95"/>
      <c r="F143" s="95"/>
      <c r="G143" s="95"/>
    </row>
    <row r="144" spans="1:7" ht="15.75">
      <c r="A144" s="99" t="str">
        <f>+A89</f>
        <v>Porcentaje de presupuesto ejercido </v>
      </c>
      <c r="B144" s="99"/>
      <c r="C144" s="99"/>
      <c r="D144" s="99"/>
      <c r="E144" s="99"/>
      <c r="F144" s="99"/>
      <c r="G144" s="99"/>
    </row>
    <row r="145" spans="1:7" ht="15.75">
      <c r="A145" s="49" t="s">
        <v>193</v>
      </c>
      <c r="B145" s="94" t="s">
        <v>641</v>
      </c>
      <c r="C145" s="94"/>
      <c r="D145" s="94"/>
      <c r="E145" s="94"/>
      <c r="F145" s="94"/>
      <c r="G145" s="94"/>
    </row>
    <row r="146" spans="1:7" ht="15.75">
      <c r="A146" s="49" t="s">
        <v>6</v>
      </c>
      <c r="B146" s="94" t="s">
        <v>642</v>
      </c>
      <c r="C146" s="94"/>
      <c r="D146" s="94"/>
      <c r="E146" s="94"/>
      <c r="F146" s="94"/>
      <c r="G146" s="94"/>
    </row>
    <row r="147" spans="1:7" ht="15.75">
      <c r="A147" s="49" t="s">
        <v>195</v>
      </c>
      <c r="B147" s="95" t="s">
        <v>259</v>
      </c>
      <c r="C147" s="95"/>
      <c r="D147" s="95"/>
      <c r="E147" s="95"/>
      <c r="F147" s="95"/>
      <c r="G147" s="95"/>
    </row>
    <row r="148" spans="1:7" ht="15.75">
      <c r="A148" s="146"/>
      <c r="B148" s="146"/>
      <c r="C148" s="146"/>
      <c r="D148" s="146"/>
      <c r="E148" s="146"/>
      <c r="F148" s="146"/>
      <c r="G148" s="146"/>
    </row>
    <row r="149" spans="1:7" ht="15.75">
      <c r="A149" s="96" t="s">
        <v>226</v>
      </c>
      <c r="B149" s="96"/>
      <c r="C149" s="96"/>
      <c r="D149" s="96"/>
      <c r="E149" s="96"/>
      <c r="F149" s="96"/>
      <c r="G149" s="96"/>
    </row>
    <row r="150" spans="1:7" ht="15.75">
      <c r="A150" s="90" t="s">
        <v>643</v>
      </c>
      <c r="B150" s="90"/>
      <c r="C150" s="90"/>
      <c r="D150" s="90"/>
      <c r="E150" s="90"/>
      <c r="F150" s="90"/>
      <c r="G150" s="90"/>
    </row>
    <row r="151" spans="1:7" ht="31.5" customHeight="1">
      <c r="A151" s="196" t="s">
        <v>229</v>
      </c>
      <c r="B151" s="197"/>
      <c r="C151" s="197"/>
      <c r="D151" s="197"/>
      <c r="E151" s="197"/>
      <c r="F151" s="197"/>
      <c r="G151" s="197"/>
    </row>
  </sheetData>
  <sheetProtection/>
  <mergeCells count="246">
    <mergeCell ref="B146:G146"/>
    <mergeCell ref="B147:G147"/>
    <mergeCell ref="A148:G148"/>
    <mergeCell ref="A149:G149"/>
    <mergeCell ref="A150:G150"/>
    <mergeCell ref="A151:G151"/>
    <mergeCell ref="A140:G140"/>
    <mergeCell ref="B141:G141"/>
    <mergeCell ref="B142:G142"/>
    <mergeCell ref="B143:G143"/>
    <mergeCell ref="A144:G144"/>
    <mergeCell ref="B145:G145"/>
    <mergeCell ref="B134:G134"/>
    <mergeCell ref="B135:G135"/>
    <mergeCell ref="A136:G136"/>
    <mergeCell ref="B137:G137"/>
    <mergeCell ref="B138:G138"/>
    <mergeCell ref="B139:G139"/>
    <mergeCell ref="A128:G128"/>
    <mergeCell ref="B129:G129"/>
    <mergeCell ref="B130:G130"/>
    <mergeCell ref="B131:G131"/>
    <mergeCell ref="A132:G132"/>
    <mergeCell ref="B133:G133"/>
    <mergeCell ref="B122:G122"/>
    <mergeCell ref="B123:G123"/>
    <mergeCell ref="A124:G124"/>
    <mergeCell ref="B125:G125"/>
    <mergeCell ref="B126:G126"/>
    <mergeCell ref="B127:G127"/>
    <mergeCell ref="A116:G116"/>
    <mergeCell ref="B117:G117"/>
    <mergeCell ref="B118:G118"/>
    <mergeCell ref="B119:G119"/>
    <mergeCell ref="A120:G120"/>
    <mergeCell ref="B121:G121"/>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A92:G92"/>
    <mergeCell ref="B93:G93"/>
    <mergeCell ref="B94:G94"/>
    <mergeCell ref="B95:G95"/>
    <mergeCell ref="A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4" manualBreakCount="4">
    <brk id="32" max="255" man="1"/>
    <brk id="66" max="255" man="1"/>
    <brk id="95" max="255" man="1"/>
    <brk id="135" max="255" man="1"/>
  </rowBreaks>
</worksheet>
</file>

<file path=xl/worksheets/sheet19.xml><?xml version="1.0" encoding="utf-8"?>
<worksheet xmlns="http://schemas.openxmlformats.org/spreadsheetml/2006/main" xmlns:r="http://schemas.openxmlformats.org/officeDocument/2006/relationships">
  <dimension ref="A1:G229"/>
  <sheetViews>
    <sheetView showGridLines="0" tabSelected="1" view="pageBreakPreview" zoomScale="70" zoomScaleSheetLayoutView="70" zoomScalePageLayoutView="0" workbookViewId="0" topLeftCell="A214">
      <selection activeCell="A29" sqref="A29:A30"/>
    </sheetView>
  </sheetViews>
  <sheetFormatPr defaultColWidth="11.421875" defaultRowHeight="15"/>
  <cols>
    <col min="1" max="3" width="45.7109375" style="54" customWidth="1"/>
    <col min="4" max="4" width="17.140625" style="54" customWidth="1"/>
    <col min="5" max="5" width="26.140625" style="54" customWidth="1"/>
    <col min="6" max="6" width="41.8515625" style="54" customWidth="1"/>
    <col min="7" max="7" width="13.28125" style="57" customWidth="1"/>
    <col min="8" max="16384" width="11.421875" style="54"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 customHeight="1">
      <c r="A4" s="107" t="s">
        <v>83</v>
      </c>
      <c r="B4" s="108"/>
      <c r="C4" s="108"/>
      <c r="D4" s="108"/>
      <c r="E4" s="108"/>
      <c r="F4" s="108"/>
      <c r="G4" s="109"/>
    </row>
    <row r="5" spans="1:7" ht="31.5" customHeight="1">
      <c r="A5" s="137" t="s">
        <v>84</v>
      </c>
      <c r="B5" s="138"/>
      <c r="C5" s="139"/>
      <c r="D5" s="140" t="s">
        <v>275</v>
      </c>
      <c r="E5" s="141"/>
      <c r="F5" s="141"/>
      <c r="G5" s="142"/>
    </row>
    <row r="6" spans="1:7" ht="15" customHeight="1">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462</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426</v>
      </c>
      <c r="B13" s="166"/>
      <c r="C13" s="166"/>
      <c r="D13" s="166"/>
      <c r="E13" s="166"/>
      <c r="F13" s="166"/>
      <c r="G13" s="167"/>
    </row>
    <row r="14" spans="1:7" ht="16.5">
      <c r="A14" s="55"/>
      <c r="B14" s="163" t="s">
        <v>98</v>
      </c>
      <c r="C14" s="163"/>
      <c r="D14" s="163"/>
      <c r="E14" s="163"/>
      <c r="F14" s="163"/>
      <c r="G14" s="164"/>
    </row>
    <row r="15" spans="1:7" ht="15.75">
      <c r="A15" s="56"/>
      <c r="B15" s="182" t="s">
        <v>427</v>
      </c>
      <c r="C15" s="182"/>
      <c r="D15" s="182"/>
      <c r="E15" s="182"/>
      <c r="F15" s="182"/>
      <c r="G15" s="183"/>
    </row>
    <row r="16" spans="1:7" ht="15.75">
      <c r="A16" s="107" t="s">
        <v>100</v>
      </c>
      <c r="B16" s="108"/>
      <c r="C16" s="108"/>
      <c r="D16" s="108"/>
      <c r="E16" s="108"/>
      <c r="F16" s="108"/>
      <c r="G16" s="109"/>
    </row>
    <row r="17" spans="1:7" ht="15.75">
      <c r="A17" s="110" t="s">
        <v>101</v>
      </c>
      <c r="B17" s="111"/>
      <c r="C17" s="112" t="s">
        <v>102</v>
      </c>
      <c r="D17" s="113"/>
      <c r="E17" s="113"/>
      <c r="F17" s="113"/>
      <c r="G17" s="114"/>
    </row>
    <row r="18" spans="1:7" ht="13.5" customHeight="1">
      <c r="A18" s="110" t="s">
        <v>103</v>
      </c>
      <c r="B18" s="111"/>
      <c r="C18" s="112" t="s">
        <v>104</v>
      </c>
      <c r="D18" s="113"/>
      <c r="E18" s="113"/>
      <c r="F18" s="113"/>
      <c r="G18" s="114"/>
    </row>
    <row r="19" spans="1:7" ht="15.75" customHeight="1">
      <c r="A19" s="110" t="s">
        <v>105</v>
      </c>
      <c r="B19" s="111"/>
      <c r="C19" s="112" t="s">
        <v>106</v>
      </c>
      <c r="D19" s="113"/>
      <c r="E19" s="113"/>
      <c r="F19" s="113"/>
      <c r="G19" s="114"/>
    </row>
    <row r="20" spans="1:7" ht="15.75" customHeight="1">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'E002'!B17</f>
        <v>185.189071</v>
      </c>
      <c r="F24" s="43">
        <f>'E002'!C17</f>
        <v>142.66509749000002</v>
      </c>
      <c r="G24" s="44">
        <f>F24/E24</f>
        <v>0.7703753613516426</v>
      </c>
    </row>
    <row r="25" spans="1:7" ht="15.75">
      <c r="A25" s="123" t="s">
        <v>114</v>
      </c>
      <c r="B25" s="124"/>
      <c r="C25" s="124"/>
      <c r="D25" s="125"/>
      <c r="E25" s="43">
        <f>'E002'!B18</f>
        <v>142.66509749</v>
      </c>
      <c r="F25" s="43">
        <f>'E002'!C18</f>
        <v>142.66509749000002</v>
      </c>
      <c r="G25" s="44">
        <f>F25/E25</f>
        <v>1.0000000000000002</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 r="A29" s="104" t="s">
        <v>119</v>
      </c>
      <c r="B29" s="104" t="s">
        <v>120</v>
      </c>
      <c r="C29" s="104" t="s">
        <v>65</v>
      </c>
      <c r="D29" s="104" t="s">
        <v>121</v>
      </c>
      <c r="E29" s="104" t="s">
        <v>122</v>
      </c>
      <c r="F29" s="45" t="s">
        <v>123</v>
      </c>
      <c r="G29" s="46">
        <v>100</v>
      </c>
    </row>
    <row r="30" spans="1:7" ht="15.75">
      <c r="A30" s="105"/>
      <c r="B30" s="105"/>
      <c r="C30" s="105"/>
      <c r="D30" s="105"/>
      <c r="E30" s="105"/>
      <c r="F30" s="45" t="s">
        <v>124</v>
      </c>
      <c r="G30" s="46">
        <v>100</v>
      </c>
    </row>
    <row r="31" spans="1:7" ht="60" customHeight="1">
      <c r="A31" s="100" t="s">
        <v>463</v>
      </c>
      <c r="B31" s="100" t="s">
        <v>464</v>
      </c>
      <c r="C31" s="100" t="s">
        <v>465</v>
      </c>
      <c r="D31" s="102" t="s">
        <v>5</v>
      </c>
      <c r="E31" s="102" t="s">
        <v>466</v>
      </c>
      <c r="F31" s="45" t="s">
        <v>130</v>
      </c>
      <c r="G31" s="47">
        <f>GEOMEAN(114.29,114.59)</f>
        <v>114.43990169516924</v>
      </c>
    </row>
    <row r="32" spans="1:7" ht="60" customHeight="1">
      <c r="A32" s="101"/>
      <c r="B32" s="101"/>
      <c r="C32" s="101"/>
      <c r="D32" s="103"/>
      <c r="E32" s="103"/>
      <c r="F32" s="45" t="s">
        <v>131</v>
      </c>
      <c r="G32" s="47">
        <v>114.43990169516924</v>
      </c>
    </row>
    <row r="33" spans="1:7" ht="15.75">
      <c r="A33" s="104" t="s">
        <v>119</v>
      </c>
      <c r="B33" s="104" t="s">
        <v>120</v>
      </c>
      <c r="C33" s="104" t="s">
        <v>65</v>
      </c>
      <c r="D33" s="104" t="s">
        <v>121</v>
      </c>
      <c r="E33" s="104" t="s">
        <v>122</v>
      </c>
      <c r="F33" s="45" t="s">
        <v>123</v>
      </c>
      <c r="G33" s="46" t="s">
        <v>39</v>
      </c>
    </row>
    <row r="34" spans="1:7" ht="15.75">
      <c r="A34" s="105"/>
      <c r="B34" s="105"/>
      <c r="C34" s="105"/>
      <c r="D34" s="105"/>
      <c r="E34" s="105"/>
      <c r="F34" s="45" t="s">
        <v>124</v>
      </c>
      <c r="G34" s="46" t="s">
        <v>39</v>
      </c>
    </row>
    <row r="35" spans="1:7" ht="116.25" customHeight="1">
      <c r="A35" s="100" t="s">
        <v>467</v>
      </c>
      <c r="B35" s="100" t="s">
        <v>464</v>
      </c>
      <c r="C35" s="100" t="s">
        <v>468</v>
      </c>
      <c r="D35" s="102" t="s">
        <v>5</v>
      </c>
      <c r="E35" s="102" t="s">
        <v>469</v>
      </c>
      <c r="F35" s="45" t="s">
        <v>130</v>
      </c>
      <c r="G35" s="47" t="s">
        <v>39</v>
      </c>
    </row>
    <row r="36" spans="1:7" ht="116.25" customHeight="1">
      <c r="A36" s="101"/>
      <c r="B36" s="101"/>
      <c r="C36" s="101"/>
      <c r="D36" s="103"/>
      <c r="E36" s="103"/>
      <c r="F36" s="45" t="s">
        <v>131</v>
      </c>
      <c r="G36" s="47" t="s">
        <v>39</v>
      </c>
    </row>
    <row r="37" spans="1:7" ht="15.75">
      <c r="A37" s="96" t="s">
        <v>288</v>
      </c>
      <c r="B37" s="96"/>
      <c r="C37" s="96"/>
      <c r="D37" s="96"/>
      <c r="E37" s="96"/>
      <c r="F37" s="96"/>
      <c r="G37" s="96"/>
    </row>
    <row r="38" spans="1:7" ht="15.75">
      <c r="A38" s="106" t="s">
        <v>117</v>
      </c>
      <c r="B38" s="106"/>
      <c r="C38" s="106"/>
      <c r="D38" s="106"/>
      <c r="E38" s="106"/>
      <c r="F38" s="106" t="s">
        <v>118</v>
      </c>
      <c r="G38" s="106"/>
    </row>
    <row r="39" spans="1:7" ht="15.75">
      <c r="A39" s="104" t="s">
        <v>119</v>
      </c>
      <c r="B39" s="104" t="s">
        <v>120</v>
      </c>
      <c r="C39" s="104" t="s">
        <v>65</v>
      </c>
      <c r="D39" s="104" t="s">
        <v>121</v>
      </c>
      <c r="E39" s="104" t="s">
        <v>122</v>
      </c>
      <c r="F39" s="45" t="s">
        <v>123</v>
      </c>
      <c r="G39" s="46">
        <v>50</v>
      </c>
    </row>
    <row r="40" spans="1:7" ht="15.75">
      <c r="A40" s="105"/>
      <c r="B40" s="105"/>
      <c r="C40" s="105"/>
      <c r="D40" s="105"/>
      <c r="E40" s="105"/>
      <c r="F40" s="45" t="s">
        <v>124</v>
      </c>
      <c r="G40" s="46">
        <v>50</v>
      </c>
    </row>
    <row r="41" spans="1:7" ht="57" customHeight="1">
      <c r="A41" s="100" t="s">
        <v>470</v>
      </c>
      <c r="B41" s="100" t="s">
        <v>471</v>
      </c>
      <c r="C41" s="100" t="s">
        <v>472</v>
      </c>
      <c r="D41" s="102" t="s">
        <v>5</v>
      </c>
      <c r="E41" s="102" t="s">
        <v>466</v>
      </c>
      <c r="F41" s="45" t="s">
        <v>130</v>
      </c>
      <c r="G41" s="47">
        <f>143/176*100</f>
        <v>81.25</v>
      </c>
    </row>
    <row r="42" spans="1:7" ht="57" customHeight="1">
      <c r="A42" s="101"/>
      <c r="B42" s="101"/>
      <c r="C42" s="101"/>
      <c r="D42" s="103"/>
      <c r="E42" s="103"/>
      <c r="F42" s="45" t="s">
        <v>131</v>
      </c>
      <c r="G42" s="47">
        <v>162.5</v>
      </c>
    </row>
    <row r="43" spans="1:7" ht="15.75">
      <c r="A43" s="104" t="s">
        <v>119</v>
      </c>
      <c r="B43" s="104" t="s">
        <v>120</v>
      </c>
      <c r="C43" s="104" t="s">
        <v>65</v>
      </c>
      <c r="D43" s="104" t="s">
        <v>121</v>
      </c>
      <c r="E43" s="104" t="s">
        <v>122</v>
      </c>
      <c r="F43" s="45" t="s">
        <v>123</v>
      </c>
      <c r="G43" s="46">
        <v>75</v>
      </c>
    </row>
    <row r="44" spans="1:7" ht="15.75">
      <c r="A44" s="105"/>
      <c r="B44" s="105"/>
      <c r="C44" s="105"/>
      <c r="D44" s="105"/>
      <c r="E44" s="105"/>
      <c r="F44" s="45" t="s">
        <v>124</v>
      </c>
      <c r="G44" s="46">
        <v>75</v>
      </c>
    </row>
    <row r="45" spans="1:7" ht="57" customHeight="1">
      <c r="A45" s="100" t="s">
        <v>473</v>
      </c>
      <c r="B45" s="100" t="s">
        <v>471</v>
      </c>
      <c r="C45" s="100" t="s">
        <v>474</v>
      </c>
      <c r="D45" s="102" t="s">
        <v>5</v>
      </c>
      <c r="E45" s="102" t="s">
        <v>466</v>
      </c>
      <c r="F45" s="45" t="s">
        <v>130</v>
      </c>
      <c r="G45" s="47">
        <f>(214/249)*100</f>
        <v>85.94377510040161</v>
      </c>
    </row>
    <row r="46" spans="1:7" ht="57" customHeight="1">
      <c r="A46" s="101"/>
      <c r="B46" s="101"/>
      <c r="C46" s="101"/>
      <c r="D46" s="103"/>
      <c r="E46" s="103"/>
      <c r="F46" s="45" t="s">
        <v>131</v>
      </c>
      <c r="G46" s="47">
        <v>114.59170013386881</v>
      </c>
    </row>
    <row r="47" spans="1:7" ht="15.75">
      <c r="A47" s="96" t="s">
        <v>293</v>
      </c>
      <c r="B47" s="96"/>
      <c r="C47" s="96"/>
      <c r="D47" s="96"/>
      <c r="E47" s="96"/>
      <c r="F47" s="96"/>
      <c r="G47" s="96"/>
    </row>
    <row r="48" spans="1:7" ht="15.75">
      <c r="A48" s="106" t="s">
        <v>117</v>
      </c>
      <c r="B48" s="106"/>
      <c r="C48" s="106"/>
      <c r="D48" s="106"/>
      <c r="E48" s="106"/>
      <c r="F48" s="106" t="s">
        <v>118</v>
      </c>
      <c r="G48" s="106"/>
    </row>
    <row r="49" spans="1:7" ht="15.75">
      <c r="A49" s="104" t="s">
        <v>119</v>
      </c>
      <c r="B49" s="104" t="s">
        <v>120</v>
      </c>
      <c r="C49" s="104" t="s">
        <v>65</v>
      </c>
      <c r="D49" s="104" t="s">
        <v>121</v>
      </c>
      <c r="E49" s="104" t="s">
        <v>122</v>
      </c>
      <c r="F49" s="45" t="s">
        <v>123</v>
      </c>
      <c r="G49" s="46">
        <v>9</v>
      </c>
    </row>
    <row r="50" spans="1:7" ht="15.75">
      <c r="A50" s="105"/>
      <c r="B50" s="105"/>
      <c r="C50" s="105"/>
      <c r="D50" s="105"/>
      <c r="E50" s="105"/>
      <c r="F50" s="45" t="s">
        <v>124</v>
      </c>
      <c r="G50" s="46">
        <v>9</v>
      </c>
    </row>
    <row r="51" spans="1:7" ht="27.75" customHeight="1">
      <c r="A51" s="100" t="s">
        <v>475</v>
      </c>
      <c r="B51" s="100" t="s">
        <v>476</v>
      </c>
      <c r="C51" s="100" t="s">
        <v>477</v>
      </c>
      <c r="D51" s="102" t="s">
        <v>149</v>
      </c>
      <c r="E51" s="102" t="s">
        <v>478</v>
      </c>
      <c r="F51" s="45" t="s">
        <v>130</v>
      </c>
      <c r="G51" s="47">
        <f>(561.65/57)</f>
        <v>9.853508771929825</v>
      </c>
    </row>
    <row r="52" spans="1:7" ht="27.75" customHeight="1">
      <c r="A52" s="101"/>
      <c r="B52" s="101"/>
      <c r="C52" s="101"/>
      <c r="D52" s="103"/>
      <c r="E52" s="103"/>
      <c r="F52" s="45" t="s">
        <v>131</v>
      </c>
      <c r="G52" s="47">
        <v>109.48343079922027</v>
      </c>
    </row>
    <row r="53" spans="1:7" ht="15.75">
      <c r="A53" s="104" t="s">
        <v>119</v>
      </c>
      <c r="B53" s="104" t="s">
        <v>120</v>
      </c>
      <c r="C53" s="104" t="s">
        <v>65</v>
      </c>
      <c r="D53" s="104" t="s">
        <v>121</v>
      </c>
      <c r="E53" s="104" t="s">
        <v>122</v>
      </c>
      <c r="F53" s="45" t="s">
        <v>123</v>
      </c>
      <c r="G53" s="46">
        <v>9</v>
      </c>
    </row>
    <row r="54" spans="1:7" ht="15.75">
      <c r="A54" s="105"/>
      <c r="B54" s="105"/>
      <c r="C54" s="105"/>
      <c r="D54" s="105"/>
      <c r="E54" s="105"/>
      <c r="F54" s="45" t="s">
        <v>124</v>
      </c>
      <c r="G54" s="46">
        <v>9</v>
      </c>
    </row>
    <row r="55" spans="1:7" ht="29.25" customHeight="1">
      <c r="A55" s="100" t="s">
        <v>479</v>
      </c>
      <c r="B55" s="100" t="s">
        <v>476</v>
      </c>
      <c r="C55" s="100" t="s">
        <v>480</v>
      </c>
      <c r="D55" s="102" t="s">
        <v>149</v>
      </c>
      <c r="E55" s="102" t="s">
        <v>478</v>
      </c>
      <c r="F55" s="45" t="s">
        <v>130</v>
      </c>
      <c r="G55" s="47">
        <f>(560.4/57)</f>
        <v>9.83157894736842</v>
      </c>
    </row>
    <row r="56" spans="1:7" ht="29.25" customHeight="1">
      <c r="A56" s="101"/>
      <c r="B56" s="101"/>
      <c r="C56" s="101"/>
      <c r="D56" s="103"/>
      <c r="E56" s="103"/>
      <c r="F56" s="45" t="s">
        <v>131</v>
      </c>
      <c r="G56" s="47">
        <v>109.23976608187134</v>
      </c>
    </row>
    <row r="57" spans="1:7" ht="15.75">
      <c r="A57" s="104" t="s">
        <v>119</v>
      </c>
      <c r="B57" s="104" t="s">
        <v>120</v>
      </c>
      <c r="C57" s="104" t="s">
        <v>65</v>
      </c>
      <c r="D57" s="104" t="s">
        <v>121</v>
      </c>
      <c r="E57" s="104" t="s">
        <v>122</v>
      </c>
      <c r="F57" s="45" t="s">
        <v>123</v>
      </c>
      <c r="G57" s="46">
        <v>9</v>
      </c>
    </row>
    <row r="58" spans="1:7" ht="15.75">
      <c r="A58" s="105"/>
      <c r="B58" s="105"/>
      <c r="C58" s="105"/>
      <c r="D58" s="105"/>
      <c r="E58" s="105"/>
      <c r="F58" s="45" t="s">
        <v>124</v>
      </c>
      <c r="G58" s="46">
        <v>9</v>
      </c>
    </row>
    <row r="59" spans="1:7" ht="42.75" customHeight="1">
      <c r="A59" s="100" t="s">
        <v>481</v>
      </c>
      <c r="B59" s="100" t="s">
        <v>476</v>
      </c>
      <c r="C59" s="100" t="s">
        <v>482</v>
      </c>
      <c r="D59" s="102" t="s">
        <v>149</v>
      </c>
      <c r="E59" s="102" t="s">
        <v>478</v>
      </c>
      <c r="F59" s="45" t="s">
        <v>130</v>
      </c>
      <c r="G59" s="47">
        <f>3394.9/340</f>
        <v>9.985</v>
      </c>
    </row>
    <row r="60" spans="1:7" ht="42.75" customHeight="1">
      <c r="A60" s="101"/>
      <c r="B60" s="101"/>
      <c r="C60" s="101"/>
      <c r="D60" s="103"/>
      <c r="E60" s="103"/>
      <c r="F60" s="45" t="s">
        <v>131</v>
      </c>
      <c r="G60" s="47">
        <v>110.94444444444444</v>
      </c>
    </row>
    <row r="61" spans="1:7" ht="15.75">
      <c r="A61" s="104" t="s">
        <v>119</v>
      </c>
      <c r="B61" s="104" t="s">
        <v>120</v>
      </c>
      <c r="C61" s="104" t="s">
        <v>65</v>
      </c>
      <c r="D61" s="104" t="s">
        <v>121</v>
      </c>
      <c r="E61" s="104" t="s">
        <v>122</v>
      </c>
      <c r="F61" s="45" t="s">
        <v>123</v>
      </c>
      <c r="G61" s="46">
        <v>1</v>
      </c>
    </row>
    <row r="62" spans="1:7" ht="15.75">
      <c r="A62" s="105"/>
      <c r="B62" s="105"/>
      <c r="C62" s="105"/>
      <c r="D62" s="105"/>
      <c r="E62" s="105"/>
      <c r="F62" s="45" t="s">
        <v>124</v>
      </c>
      <c r="G62" s="46">
        <v>1</v>
      </c>
    </row>
    <row r="63" spans="1:7" ht="56.25" customHeight="1">
      <c r="A63" s="100" t="s">
        <v>483</v>
      </c>
      <c r="B63" s="100" t="s">
        <v>484</v>
      </c>
      <c r="C63" s="100" t="s">
        <v>485</v>
      </c>
      <c r="D63" s="102" t="s">
        <v>282</v>
      </c>
      <c r="E63" s="102" t="s">
        <v>486</v>
      </c>
      <c r="F63" s="45" t="s">
        <v>130</v>
      </c>
      <c r="G63" s="47">
        <f>((66.7-66)/66)*100</f>
        <v>1.0606060606060648</v>
      </c>
    </row>
    <row r="64" spans="1:7" ht="56.25" customHeight="1">
      <c r="A64" s="101"/>
      <c r="B64" s="101"/>
      <c r="C64" s="101"/>
      <c r="D64" s="103"/>
      <c r="E64" s="103"/>
      <c r="F64" s="45" t="s">
        <v>131</v>
      </c>
      <c r="G64" s="47">
        <v>106.06060606060647</v>
      </c>
    </row>
    <row r="65" spans="1:7" ht="15.75">
      <c r="A65" s="104" t="s">
        <v>119</v>
      </c>
      <c r="B65" s="104" t="s">
        <v>120</v>
      </c>
      <c r="C65" s="104" t="s">
        <v>65</v>
      </c>
      <c r="D65" s="104" t="s">
        <v>121</v>
      </c>
      <c r="E65" s="104" t="s">
        <v>122</v>
      </c>
      <c r="F65" s="45" t="s">
        <v>123</v>
      </c>
      <c r="G65" s="46">
        <v>83</v>
      </c>
    </row>
    <row r="66" spans="1:7" ht="15.75">
      <c r="A66" s="105"/>
      <c r="B66" s="105"/>
      <c r="C66" s="105"/>
      <c r="D66" s="105"/>
      <c r="E66" s="105"/>
      <c r="F66" s="45" t="s">
        <v>124</v>
      </c>
      <c r="G66" s="46">
        <v>93</v>
      </c>
    </row>
    <row r="67" spans="1:7" ht="30" customHeight="1">
      <c r="A67" s="100" t="s">
        <v>487</v>
      </c>
      <c r="B67" s="100" t="s">
        <v>484</v>
      </c>
      <c r="C67" s="100" t="s">
        <v>488</v>
      </c>
      <c r="D67" s="102" t="s">
        <v>5</v>
      </c>
      <c r="E67" s="102" t="s">
        <v>489</v>
      </c>
      <c r="F67" s="45" t="s">
        <v>130</v>
      </c>
      <c r="G67" s="47">
        <f>(149648/152559)*100</f>
        <v>98.0918857622297</v>
      </c>
    </row>
    <row r="68" spans="1:7" ht="30" customHeight="1">
      <c r="A68" s="101"/>
      <c r="B68" s="101"/>
      <c r="C68" s="101"/>
      <c r="D68" s="103"/>
      <c r="E68" s="103"/>
      <c r="F68" s="45" t="s">
        <v>131</v>
      </c>
      <c r="G68" s="47">
        <v>105.47514598089214</v>
      </c>
    </row>
    <row r="69" spans="1:7" ht="15.75">
      <c r="A69" s="104" t="s">
        <v>119</v>
      </c>
      <c r="B69" s="104" t="s">
        <v>120</v>
      </c>
      <c r="C69" s="104" t="s">
        <v>65</v>
      </c>
      <c r="D69" s="104" t="s">
        <v>121</v>
      </c>
      <c r="E69" s="104" t="s">
        <v>122</v>
      </c>
      <c r="F69" s="45" t="s">
        <v>123</v>
      </c>
      <c r="G69" s="46">
        <v>8</v>
      </c>
    </row>
    <row r="70" spans="1:7" ht="15.75">
      <c r="A70" s="105"/>
      <c r="B70" s="105"/>
      <c r="C70" s="105"/>
      <c r="D70" s="105"/>
      <c r="E70" s="105"/>
      <c r="F70" s="45" t="s">
        <v>124</v>
      </c>
      <c r="G70" s="46">
        <v>8</v>
      </c>
    </row>
    <row r="71" spans="1:7" ht="15.75" customHeight="1">
      <c r="A71" s="100" t="s">
        <v>490</v>
      </c>
      <c r="B71" s="100" t="s">
        <v>491</v>
      </c>
      <c r="C71" s="100" t="s">
        <v>492</v>
      </c>
      <c r="D71" s="102" t="s">
        <v>149</v>
      </c>
      <c r="E71" s="102" t="s">
        <v>493</v>
      </c>
      <c r="F71" s="45" t="s">
        <v>130</v>
      </c>
      <c r="G71" s="47">
        <f>(8.7+9.3)/2</f>
        <v>9</v>
      </c>
    </row>
    <row r="72" spans="1:7" ht="27">
      <c r="A72" s="101"/>
      <c r="B72" s="101"/>
      <c r="C72" s="101"/>
      <c r="D72" s="103"/>
      <c r="E72" s="103"/>
      <c r="F72" s="45" t="s">
        <v>131</v>
      </c>
      <c r="G72" s="47">
        <v>112.5</v>
      </c>
    </row>
    <row r="73" spans="1:7" ht="15.75">
      <c r="A73" s="96" t="s">
        <v>303</v>
      </c>
      <c r="B73" s="96"/>
      <c r="C73" s="96"/>
      <c r="D73" s="96"/>
      <c r="E73" s="96"/>
      <c r="F73" s="96"/>
      <c r="G73" s="96"/>
    </row>
    <row r="74" spans="1:7" ht="15.75">
      <c r="A74" s="106" t="s">
        <v>117</v>
      </c>
      <c r="B74" s="106"/>
      <c r="C74" s="106"/>
      <c r="D74" s="106"/>
      <c r="E74" s="106"/>
      <c r="F74" s="106" t="s">
        <v>118</v>
      </c>
      <c r="G74" s="106"/>
    </row>
    <row r="75" spans="1:7" ht="15.75" customHeight="1">
      <c r="A75" s="104" t="s">
        <v>119</v>
      </c>
      <c r="B75" s="104" t="s">
        <v>120</v>
      </c>
      <c r="C75" s="104" t="s">
        <v>65</v>
      </c>
      <c r="D75" s="104" t="s">
        <v>121</v>
      </c>
      <c r="E75" s="104" t="s">
        <v>122</v>
      </c>
      <c r="F75" s="45" t="s">
        <v>123</v>
      </c>
      <c r="G75" s="46">
        <v>100</v>
      </c>
    </row>
    <row r="76" spans="1:7" ht="15.75">
      <c r="A76" s="105"/>
      <c r="B76" s="105"/>
      <c r="C76" s="105"/>
      <c r="D76" s="105"/>
      <c r="E76" s="105"/>
      <c r="F76" s="45" t="s">
        <v>124</v>
      </c>
      <c r="G76" s="46">
        <v>100</v>
      </c>
    </row>
    <row r="77" spans="1:7" ht="33.75" customHeight="1">
      <c r="A77" s="100" t="s">
        <v>494</v>
      </c>
      <c r="B77" s="100" t="s">
        <v>495</v>
      </c>
      <c r="C77" s="100" t="s">
        <v>496</v>
      </c>
      <c r="D77" s="102" t="s">
        <v>5</v>
      </c>
      <c r="E77" s="102" t="s">
        <v>489</v>
      </c>
      <c r="F77" s="45" t="s">
        <v>130</v>
      </c>
      <c r="G77" s="47">
        <f>(55/55)*100</f>
        <v>100</v>
      </c>
    </row>
    <row r="78" spans="1:7" ht="33.75" customHeight="1">
      <c r="A78" s="101"/>
      <c r="B78" s="101"/>
      <c r="C78" s="101"/>
      <c r="D78" s="103"/>
      <c r="E78" s="103"/>
      <c r="F78" s="45" t="s">
        <v>131</v>
      </c>
      <c r="G78" s="47">
        <v>100</v>
      </c>
    </row>
    <row r="79" spans="1:7" ht="15.75" customHeight="1">
      <c r="A79" s="104" t="s">
        <v>119</v>
      </c>
      <c r="B79" s="104" t="s">
        <v>120</v>
      </c>
      <c r="C79" s="104" t="s">
        <v>65</v>
      </c>
      <c r="D79" s="104" t="s">
        <v>121</v>
      </c>
      <c r="E79" s="104" t="s">
        <v>122</v>
      </c>
      <c r="F79" s="45" t="s">
        <v>123</v>
      </c>
      <c r="G79" s="46">
        <v>100</v>
      </c>
    </row>
    <row r="80" spans="1:7" ht="15.75">
      <c r="A80" s="105"/>
      <c r="B80" s="105"/>
      <c r="C80" s="105"/>
      <c r="D80" s="105"/>
      <c r="E80" s="105"/>
      <c r="F80" s="45" t="s">
        <v>124</v>
      </c>
      <c r="G80" s="46">
        <v>100</v>
      </c>
    </row>
    <row r="81" spans="1:7" ht="28.5" customHeight="1">
      <c r="A81" s="100" t="s">
        <v>497</v>
      </c>
      <c r="B81" s="100" t="s">
        <v>498</v>
      </c>
      <c r="C81" s="100" t="s">
        <v>499</v>
      </c>
      <c r="D81" s="102" t="s">
        <v>5</v>
      </c>
      <c r="E81" s="102" t="s">
        <v>478</v>
      </c>
      <c r="F81" s="45" t="s">
        <v>130</v>
      </c>
      <c r="G81" s="47">
        <f>235/237*100</f>
        <v>99.15611814345992</v>
      </c>
    </row>
    <row r="82" spans="1:7" ht="28.5" customHeight="1">
      <c r="A82" s="101"/>
      <c r="B82" s="101"/>
      <c r="C82" s="101"/>
      <c r="D82" s="103"/>
      <c r="E82" s="103"/>
      <c r="F82" s="45" t="s">
        <v>131</v>
      </c>
      <c r="G82" s="47">
        <v>99.15611814345992</v>
      </c>
    </row>
    <row r="83" spans="1:7" ht="15.75" customHeight="1">
      <c r="A83" s="104" t="s">
        <v>119</v>
      </c>
      <c r="B83" s="104" t="s">
        <v>120</v>
      </c>
      <c r="C83" s="104" t="s">
        <v>65</v>
      </c>
      <c r="D83" s="104" t="s">
        <v>121</v>
      </c>
      <c r="E83" s="104" t="s">
        <v>122</v>
      </c>
      <c r="F83" s="45" t="s">
        <v>123</v>
      </c>
      <c r="G83" s="46">
        <v>9.5</v>
      </c>
    </row>
    <row r="84" spans="1:7" ht="15.75">
      <c r="A84" s="105"/>
      <c r="B84" s="105"/>
      <c r="C84" s="105"/>
      <c r="D84" s="105"/>
      <c r="E84" s="105"/>
      <c r="F84" s="45" t="s">
        <v>124</v>
      </c>
      <c r="G84" s="46">
        <v>9.5</v>
      </c>
    </row>
    <row r="85" spans="1:7" ht="33.75" customHeight="1">
      <c r="A85" s="100" t="s">
        <v>500</v>
      </c>
      <c r="B85" s="100" t="s">
        <v>501</v>
      </c>
      <c r="C85" s="100" t="s">
        <v>502</v>
      </c>
      <c r="D85" s="102" t="s">
        <v>149</v>
      </c>
      <c r="E85" s="102" t="s">
        <v>503</v>
      </c>
      <c r="F85" s="45" t="s">
        <v>130</v>
      </c>
      <c r="G85" s="47">
        <f>3295.8/349</f>
        <v>9.44355300859599</v>
      </c>
    </row>
    <row r="86" spans="1:7" ht="33.75" customHeight="1">
      <c r="A86" s="101"/>
      <c r="B86" s="101"/>
      <c r="C86" s="101"/>
      <c r="D86" s="103"/>
      <c r="E86" s="103"/>
      <c r="F86" s="45" t="s">
        <v>131</v>
      </c>
      <c r="G86" s="47">
        <v>99.40582114311567</v>
      </c>
    </row>
    <row r="87" spans="1:7" ht="15.75" customHeight="1">
      <c r="A87" s="104" t="s">
        <v>119</v>
      </c>
      <c r="B87" s="104" t="s">
        <v>120</v>
      </c>
      <c r="C87" s="104" t="s">
        <v>65</v>
      </c>
      <c r="D87" s="104" t="s">
        <v>121</v>
      </c>
      <c r="E87" s="104" t="s">
        <v>122</v>
      </c>
      <c r="F87" s="45" t="s">
        <v>123</v>
      </c>
      <c r="G87" s="46">
        <v>100</v>
      </c>
    </row>
    <row r="88" spans="1:7" ht="15.75">
      <c r="A88" s="105"/>
      <c r="B88" s="105"/>
      <c r="C88" s="105"/>
      <c r="D88" s="105"/>
      <c r="E88" s="105"/>
      <c r="F88" s="45" t="s">
        <v>124</v>
      </c>
      <c r="G88" s="46">
        <v>100</v>
      </c>
    </row>
    <row r="89" spans="1:7" ht="35.25" customHeight="1">
      <c r="A89" s="100" t="s">
        <v>504</v>
      </c>
      <c r="B89" s="100" t="s">
        <v>505</v>
      </c>
      <c r="C89" s="100" t="s">
        <v>506</v>
      </c>
      <c r="D89" s="102" t="s">
        <v>5</v>
      </c>
      <c r="E89" s="102" t="s">
        <v>489</v>
      </c>
      <c r="F89" s="45" t="s">
        <v>130</v>
      </c>
      <c r="G89" s="47">
        <f>100/100*100</f>
        <v>100</v>
      </c>
    </row>
    <row r="90" spans="1:7" ht="35.25" customHeight="1">
      <c r="A90" s="101"/>
      <c r="B90" s="101"/>
      <c r="C90" s="101"/>
      <c r="D90" s="103"/>
      <c r="E90" s="103"/>
      <c r="F90" s="45" t="s">
        <v>131</v>
      </c>
      <c r="G90" s="47">
        <v>100</v>
      </c>
    </row>
    <row r="91" spans="1:7" ht="15.75" customHeight="1">
      <c r="A91" s="104" t="s">
        <v>119</v>
      </c>
      <c r="B91" s="104" t="s">
        <v>120</v>
      </c>
      <c r="C91" s="104" t="s">
        <v>65</v>
      </c>
      <c r="D91" s="104" t="s">
        <v>121</v>
      </c>
      <c r="E91" s="104" t="s">
        <v>122</v>
      </c>
      <c r="F91" s="45" t="s">
        <v>123</v>
      </c>
      <c r="G91" s="46">
        <v>100</v>
      </c>
    </row>
    <row r="92" spans="1:7" ht="15.75">
      <c r="A92" s="105"/>
      <c r="B92" s="105"/>
      <c r="C92" s="105"/>
      <c r="D92" s="105"/>
      <c r="E92" s="105"/>
      <c r="F92" s="45" t="s">
        <v>124</v>
      </c>
      <c r="G92" s="46">
        <v>100</v>
      </c>
    </row>
    <row r="93" spans="1:7" ht="15.75" customHeight="1">
      <c r="A93" s="100" t="s">
        <v>507</v>
      </c>
      <c r="B93" s="100" t="s">
        <v>508</v>
      </c>
      <c r="C93" s="100" t="s">
        <v>509</v>
      </c>
      <c r="D93" s="102" t="s">
        <v>5</v>
      </c>
      <c r="E93" s="102" t="s">
        <v>478</v>
      </c>
      <c r="F93" s="45" t="s">
        <v>130</v>
      </c>
      <c r="G93" s="47">
        <f>13/13*100</f>
        <v>100</v>
      </c>
    </row>
    <row r="94" spans="1:7" ht="27">
      <c r="A94" s="101"/>
      <c r="B94" s="101"/>
      <c r="C94" s="101"/>
      <c r="D94" s="103"/>
      <c r="E94" s="103"/>
      <c r="F94" s="45" t="s">
        <v>131</v>
      </c>
      <c r="G94" s="47">
        <v>100</v>
      </c>
    </row>
    <row r="95" spans="1:7" ht="15.75" customHeight="1">
      <c r="A95" s="104" t="s">
        <v>119</v>
      </c>
      <c r="B95" s="104" t="s">
        <v>120</v>
      </c>
      <c r="C95" s="104" t="s">
        <v>65</v>
      </c>
      <c r="D95" s="104" t="s">
        <v>121</v>
      </c>
      <c r="E95" s="104" t="s">
        <v>122</v>
      </c>
      <c r="F95" s="45" t="s">
        <v>123</v>
      </c>
      <c r="G95" s="46">
        <v>100</v>
      </c>
    </row>
    <row r="96" spans="1:7" ht="15.75">
      <c r="A96" s="105"/>
      <c r="B96" s="105"/>
      <c r="C96" s="105"/>
      <c r="D96" s="105"/>
      <c r="E96" s="105"/>
      <c r="F96" s="45" t="s">
        <v>124</v>
      </c>
      <c r="G96" s="46">
        <v>100</v>
      </c>
    </row>
    <row r="97" spans="1:7" ht="15.75" customHeight="1">
      <c r="A97" s="100" t="s">
        <v>510</v>
      </c>
      <c r="B97" s="100" t="s">
        <v>511</v>
      </c>
      <c r="C97" s="100" t="s">
        <v>512</v>
      </c>
      <c r="D97" s="102" t="s">
        <v>5</v>
      </c>
      <c r="E97" s="102" t="s">
        <v>486</v>
      </c>
      <c r="F97" s="45" t="s">
        <v>130</v>
      </c>
      <c r="G97" s="47">
        <f>(1/1)*100</f>
        <v>100</v>
      </c>
    </row>
    <row r="98" spans="1:7" ht="27">
      <c r="A98" s="101"/>
      <c r="B98" s="101"/>
      <c r="C98" s="101"/>
      <c r="D98" s="103"/>
      <c r="E98" s="103"/>
      <c r="F98" s="45" t="s">
        <v>131</v>
      </c>
      <c r="G98" s="47">
        <v>100</v>
      </c>
    </row>
    <row r="99" spans="1:7" ht="15.75" customHeight="1">
      <c r="A99" s="104" t="s">
        <v>119</v>
      </c>
      <c r="B99" s="104" t="s">
        <v>120</v>
      </c>
      <c r="C99" s="104" t="s">
        <v>65</v>
      </c>
      <c r="D99" s="104" t="s">
        <v>121</v>
      </c>
      <c r="E99" s="104" t="s">
        <v>122</v>
      </c>
      <c r="F99" s="45" t="s">
        <v>123</v>
      </c>
      <c r="G99" s="46">
        <v>100</v>
      </c>
    </row>
    <row r="100" spans="1:7" ht="15.75">
      <c r="A100" s="105"/>
      <c r="B100" s="105"/>
      <c r="C100" s="105"/>
      <c r="D100" s="105"/>
      <c r="E100" s="105"/>
      <c r="F100" s="45" t="s">
        <v>124</v>
      </c>
      <c r="G100" s="46">
        <v>100</v>
      </c>
    </row>
    <row r="101" spans="1:7" ht="29.25" customHeight="1">
      <c r="A101" s="100" t="s">
        <v>513</v>
      </c>
      <c r="B101" s="100" t="s">
        <v>514</v>
      </c>
      <c r="C101" s="100" t="s">
        <v>515</v>
      </c>
      <c r="D101" s="102" t="s">
        <v>5</v>
      </c>
      <c r="E101" s="102" t="s">
        <v>489</v>
      </c>
      <c r="F101" s="45" t="s">
        <v>130</v>
      </c>
      <c r="G101" s="47">
        <f>(2/2)*100</f>
        <v>100</v>
      </c>
    </row>
    <row r="102" spans="1:7" ht="29.25" customHeight="1">
      <c r="A102" s="101"/>
      <c r="B102" s="101"/>
      <c r="C102" s="101"/>
      <c r="D102" s="103"/>
      <c r="E102" s="103"/>
      <c r="F102" s="45" t="s">
        <v>131</v>
      </c>
      <c r="G102" s="47">
        <v>100</v>
      </c>
    </row>
    <row r="103" spans="1:7" ht="15.75" customHeight="1">
      <c r="A103" s="104" t="s">
        <v>119</v>
      </c>
      <c r="B103" s="104" t="s">
        <v>120</v>
      </c>
      <c r="C103" s="104" t="s">
        <v>65</v>
      </c>
      <c r="D103" s="104" t="s">
        <v>121</v>
      </c>
      <c r="E103" s="104" t="s">
        <v>122</v>
      </c>
      <c r="F103" s="45" t="s">
        <v>123</v>
      </c>
      <c r="G103" s="46">
        <v>100</v>
      </c>
    </row>
    <row r="104" spans="1:7" ht="15.75">
      <c r="A104" s="105"/>
      <c r="B104" s="105"/>
      <c r="C104" s="105"/>
      <c r="D104" s="105"/>
      <c r="E104" s="105"/>
      <c r="F104" s="45" t="s">
        <v>124</v>
      </c>
      <c r="G104" s="46">
        <v>100</v>
      </c>
    </row>
    <row r="105" spans="1:7" ht="34.5" customHeight="1">
      <c r="A105" s="100" t="s">
        <v>516</v>
      </c>
      <c r="B105" s="100" t="s">
        <v>517</v>
      </c>
      <c r="C105" s="100" t="s">
        <v>518</v>
      </c>
      <c r="D105" s="102" t="s">
        <v>5</v>
      </c>
      <c r="E105" s="102" t="s">
        <v>489</v>
      </c>
      <c r="F105" s="45" t="s">
        <v>130</v>
      </c>
      <c r="G105" s="47">
        <f>(2/2)*100</f>
        <v>100</v>
      </c>
    </row>
    <row r="106" spans="1:7" ht="34.5" customHeight="1">
      <c r="A106" s="101"/>
      <c r="B106" s="101"/>
      <c r="C106" s="101"/>
      <c r="D106" s="103"/>
      <c r="E106" s="103"/>
      <c r="F106" s="45" t="s">
        <v>131</v>
      </c>
      <c r="G106" s="47">
        <v>100</v>
      </c>
    </row>
    <row r="107" spans="1:7" ht="15.75" customHeight="1">
      <c r="A107" s="104" t="s">
        <v>119</v>
      </c>
      <c r="B107" s="104" t="s">
        <v>120</v>
      </c>
      <c r="C107" s="104" t="s">
        <v>65</v>
      </c>
      <c r="D107" s="104" t="s">
        <v>121</v>
      </c>
      <c r="E107" s="104" t="s">
        <v>122</v>
      </c>
      <c r="F107" s="45" t="s">
        <v>123</v>
      </c>
      <c r="G107" s="46">
        <v>100</v>
      </c>
    </row>
    <row r="108" spans="1:7" ht="15.75">
      <c r="A108" s="105"/>
      <c r="B108" s="105"/>
      <c r="C108" s="105"/>
      <c r="D108" s="105"/>
      <c r="E108" s="105"/>
      <c r="F108" s="45" t="s">
        <v>124</v>
      </c>
      <c r="G108" s="46">
        <v>100</v>
      </c>
    </row>
    <row r="109" spans="1:7" ht="31.5" customHeight="1">
      <c r="A109" s="100" t="s">
        <v>519</v>
      </c>
      <c r="B109" s="100" t="s">
        <v>520</v>
      </c>
      <c r="C109" s="100" t="s">
        <v>521</v>
      </c>
      <c r="D109" s="102" t="s">
        <v>5</v>
      </c>
      <c r="E109" s="102" t="s">
        <v>486</v>
      </c>
      <c r="F109" s="45" t="s">
        <v>130</v>
      </c>
      <c r="G109" s="47">
        <f>(2/2)*100</f>
        <v>100</v>
      </c>
    </row>
    <row r="110" spans="1:7" ht="31.5" customHeight="1">
      <c r="A110" s="101"/>
      <c r="B110" s="101"/>
      <c r="C110" s="101"/>
      <c r="D110" s="103"/>
      <c r="E110" s="103"/>
      <c r="F110" s="45" t="s">
        <v>131</v>
      </c>
      <c r="G110" s="47">
        <v>100</v>
      </c>
    </row>
    <row r="111" spans="1:7" ht="15.75" customHeight="1">
      <c r="A111" s="104" t="s">
        <v>119</v>
      </c>
      <c r="B111" s="104" t="s">
        <v>120</v>
      </c>
      <c r="C111" s="104" t="s">
        <v>65</v>
      </c>
      <c r="D111" s="104" t="s">
        <v>121</v>
      </c>
      <c r="E111" s="104" t="s">
        <v>122</v>
      </c>
      <c r="F111" s="45" t="s">
        <v>123</v>
      </c>
      <c r="G111" s="46">
        <v>100</v>
      </c>
    </row>
    <row r="112" spans="1:7" ht="15.75">
      <c r="A112" s="105"/>
      <c r="B112" s="105"/>
      <c r="C112" s="105"/>
      <c r="D112" s="105"/>
      <c r="E112" s="105"/>
      <c r="F112" s="45" t="s">
        <v>124</v>
      </c>
      <c r="G112" s="46">
        <v>100</v>
      </c>
    </row>
    <row r="113" spans="1:7" ht="30" customHeight="1">
      <c r="A113" s="100" t="s">
        <v>522</v>
      </c>
      <c r="B113" s="100" t="s">
        <v>523</v>
      </c>
      <c r="C113" s="100" t="s">
        <v>524</v>
      </c>
      <c r="D113" s="102" t="s">
        <v>5</v>
      </c>
      <c r="E113" s="102" t="s">
        <v>478</v>
      </c>
      <c r="F113" s="45" t="s">
        <v>130</v>
      </c>
      <c r="G113" s="47">
        <f>64/63*100</f>
        <v>101.58730158730158</v>
      </c>
    </row>
    <row r="114" spans="1:7" ht="30" customHeight="1">
      <c r="A114" s="101"/>
      <c r="B114" s="101"/>
      <c r="C114" s="101"/>
      <c r="D114" s="103"/>
      <c r="E114" s="103"/>
      <c r="F114" s="45" t="s">
        <v>131</v>
      </c>
      <c r="G114" s="47">
        <v>101.58730158730158</v>
      </c>
    </row>
    <row r="115" spans="1:7" ht="15.75" customHeight="1">
      <c r="A115" s="104" t="s">
        <v>119</v>
      </c>
      <c r="B115" s="104" t="s">
        <v>120</v>
      </c>
      <c r="C115" s="104" t="s">
        <v>65</v>
      </c>
      <c r="D115" s="104" t="s">
        <v>121</v>
      </c>
      <c r="E115" s="104" t="s">
        <v>122</v>
      </c>
      <c r="F115" s="45" t="s">
        <v>123</v>
      </c>
      <c r="G115" s="46">
        <v>95</v>
      </c>
    </row>
    <row r="116" spans="1:7" ht="15.75">
      <c r="A116" s="105"/>
      <c r="B116" s="105"/>
      <c r="C116" s="105"/>
      <c r="D116" s="105"/>
      <c r="E116" s="105"/>
      <c r="F116" s="45" t="s">
        <v>124</v>
      </c>
      <c r="G116" s="46">
        <v>95</v>
      </c>
    </row>
    <row r="117" spans="1:7" ht="30.75" customHeight="1">
      <c r="A117" s="100" t="s">
        <v>525</v>
      </c>
      <c r="B117" s="100" t="s">
        <v>526</v>
      </c>
      <c r="C117" s="100" t="s">
        <v>527</v>
      </c>
      <c r="D117" s="102" t="s">
        <v>5</v>
      </c>
      <c r="E117" s="102" t="s">
        <v>478</v>
      </c>
      <c r="F117" s="45" t="s">
        <v>130</v>
      </c>
      <c r="G117" s="47">
        <f>70/70*100</f>
        <v>100</v>
      </c>
    </row>
    <row r="118" spans="1:7" ht="30.75" customHeight="1">
      <c r="A118" s="101"/>
      <c r="B118" s="101"/>
      <c r="C118" s="101"/>
      <c r="D118" s="103"/>
      <c r="E118" s="103"/>
      <c r="F118" s="45" t="s">
        <v>131</v>
      </c>
      <c r="G118" s="47">
        <v>105.26315789473684</v>
      </c>
    </row>
    <row r="119" spans="1:7" ht="15.75" customHeight="1">
      <c r="A119" s="104" t="s">
        <v>119</v>
      </c>
      <c r="B119" s="104" t="s">
        <v>120</v>
      </c>
      <c r="C119" s="104" t="s">
        <v>65</v>
      </c>
      <c r="D119" s="104" t="s">
        <v>121</v>
      </c>
      <c r="E119" s="104" t="s">
        <v>122</v>
      </c>
      <c r="F119" s="45" t="s">
        <v>123</v>
      </c>
      <c r="G119" s="46">
        <v>100</v>
      </c>
    </row>
    <row r="120" spans="1:7" ht="15.75">
      <c r="A120" s="105"/>
      <c r="B120" s="105"/>
      <c r="C120" s="105"/>
      <c r="D120" s="105"/>
      <c r="E120" s="105"/>
      <c r="F120" s="45" t="s">
        <v>124</v>
      </c>
      <c r="G120" s="46">
        <v>100</v>
      </c>
    </row>
    <row r="121" spans="1:7" ht="36.75" customHeight="1">
      <c r="A121" s="100" t="s">
        <v>528</v>
      </c>
      <c r="B121" s="100" t="s">
        <v>529</v>
      </c>
      <c r="C121" s="100" t="s">
        <v>530</v>
      </c>
      <c r="D121" s="102" t="s">
        <v>5</v>
      </c>
      <c r="E121" s="102" t="s">
        <v>531</v>
      </c>
      <c r="F121" s="45" t="s">
        <v>130</v>
      </c>
      <c r="G121" s="47">
        <f>(32/33)*100</f>
        <v>96.96969696969697</v>
      </c>
    </row>
    <row r="122" spans="1:7" ht="36.75" customHeight="1">
      <c r="A122" s="101"/>
      <c r="B122" s="101"/>
      <c r="C122" s="101"/>
      <c r="D122" s="103"/>
      <c r="E122" s="103"/>
      <c r="F122" s="45" t="s">
        <v>131</v>
      </c>
      <c r="G122" s="47">
        <v>96.96969696969697</v>
      </c>
    </row>
    <row r="123" spans="1:7" ht="15.75">
      <c r="A123" s="96" t="s">
        <v>192</v>
      </c>
      <c r="B123" s="96"/>
      <c r="C123" s="96"/>
      <c r="D123" s="96"/>
      <c r="E123" s="96"/>
      <c r="F123" s="96"/>
      <c r="G123" s="96"/>
    </row>
    <row r="124" spans="1:7" ht="15.75">
      <c r="A124" s="99" t="str">
        <f>+A31</f>
        <v>Media geométrica del cumplimiento de las metas de los indicadores de capacitación en materia de acceso y protección de datos personales. </v>
      </c>
      <c r="B124" s="99"/>
      <c r="C124" s="99"/>
      <c r="D124" s="99"/>
      <c r="E124" s="99"/>
      <c r="F124" s="99"/>
      <c r="G124" s="99"/>
    </row>
    <row r="125" spans="1:7" ht="56.25" customHeight="1">
      <c r="A125" s="48" t="s">
        <v>193</v>
      </c>
      <c r="B125" s="98" t="s">
        <v>899</v>
      </c>
      <c r="C125" s="98"/>
      <c r="D125" s="98"/>
      <c r="E125" s="98"/>
      <c r="F125" s="98"/>
      <c r="G125" s="98"/>
    </row>
    <row r="126" spans="1:7" ht="49.5" customHeight="1">
      <c r="A126" s="49" t="s">
        <v>6</v>
      </c>
      <c r="B126" s="98" t="s">
        <v>900</v>
      </c>
      <c r="C126" s="98"/>
      <c r="D126" s="98"/>
      <c r="E126" s="98"/>
      <c r="F126" s="98"/>
      <c r="G126" s="98"/>
    </row>
    <row r="127" spans="1:7" ht="15.75">
      <c r="A127" s="49" t="s">
        <v>195</v>
      </c>
      <c r="B127" s="95" t="s">
        <v>259</v>
      </c>
      <c r="C127" s="95"/>
      <c r="D127" s="95"/>
      <c r="E127" s="95"/>
      <c r="F127" s="95"/>
      <c r="G127" s="95"/>
    </row>
    <row r="128" spans="1:7" ht="15.75">
      <c r="A128" s="99" t="str">
        <f>+A35</f>
        <v>Porcentaje de sujetos regulados por la LFPDPPP de sectores estratégicos que aplican conocimientos en materia de protección de datos personales</v>
      </c>
      <c r="B128" s="99"/>
      <c r="C128" s="99"/>
      <c r="D128" s="99"/>
      <c r="E128" s="99"/>
      <c r="F128" s="99"/>
      <c r="G128" s="99"/>
    </row>
    <row r="129" spans="1:7" ht="15.75">
      <c r="A129" s="49" t="s">
        <v>193</v>
      </c>
      <c r="B129" s="94" t="s">
        <v>323</v>
      </c>
      <c r="C129" s="94"/>
      <c r="D129" s="94"/>
      <c r="E129" s="94"/>
      <c r="F129" s="94"/>
      <c r="G129" s="94"/>
    </row>
    <row r="130" spans="1:7" ht="15.75">
      <c r="A130" s="49" t="s">
        <v>6</v>
      </c>
      <c r="B130" s="94" t="s">
        <v>323</v>
      </c>
      <c r="C130" s="94"/>
      <c r="D130" s="94"/>
      <c r="E130" s="94"/>
      <c r="F130" s="94"/>
      <c r="G130" s="94"/>
    </row>
    <row r="131" spans="1:7" ht="15.75">
      <c r="A131" s="49" t="s">
        <v>195</v>
      </c>
      <c r="B131" s="95" t="s">
        <v>259</v>
      </c>
      <c r="C131" s="95"/>
      <c r="D131" s="95"/>
      <c r="E131" s="95"/>
      <c r="F131" s="95"/>
      <c r="G131" s="95"/>
    </row>
    <row r="132" spans="1:7" ht="15.75">
      <c r="A132" s="99" t="str">
        <f>+A41</f>
        <v>Porcentaje de cumplimiento de los Sujetos Obligados de la Administración Pública Federal, con lo establecido en el (ICCT) Índice de Capacitación para el Fortalecimiento de una Cultura de Transparencia y Protección de Datos Personales (PCICCT)</v>
      </c>
      <c r="B132" s="99"/>
      <c r="C132" s="99"/>
      <c r="D132" s="99"/>
      <c r="E132" s="99"/>
      <c r="F132" s="99"/>
      <c r="G132" s="99"/>
    </row>
    <row r="133" spans="1:7" ht="84.75" customHeight="1">
      <c r="A133" s="49" t="s">
        <v>193</v>
      </c>
      <c r="B133" s="98" t="s">
        <v>532</v>
      </c>
      <c r="C133" s="98"/>
      <c r="D133" s="98"/>
      <c r="E133" s="98"/>
      <c r="F133" s="98"/>
      <c r="G133" s="98"/>
    </row>
    <row r="134" spans="1:7" ht="31.5" customHeight="1">
      <c r="A134" s="49" t="s">
        <v>6</v>
      </c>
      <c r="B134" s="98" t="s">
        <v>533</v>
      </c>
      <c r="C134" s="98"/>
      <c r="D134" s="98"/>
      <c r="E134" s="98"/>
      <c r="F134" s="98"/>
      <c r="G134" s="98"/>
    </row>
    <row r="135" spans="1:7" ht="39.75" customHeight="1">
      <c r="A135" s="49" t="s">
        <v>195</v>
      </c>
      <c r="B135" s="95" t="s">
        <v>534</v>
      </c>
      <c r="C135" s="95"/>
      <c r="D135" s="95"/>
      <c r="E135" s="95"/>
      <c r="F135" s="95"/>
      <c r="G135" s="95"/>
    </row>
    <row r="136" spans="1:7" ht="15.75">
      <c r="A136" s="99" t="str">
        <f>+A45</f>
        <v>Porcentaje de aplicabilidad de la capacitación dirigida a sujetos regulados por la LFPDPPP en materia de protección de datos personales (PAC).</v>
      </c>
      <c r="B136" s="99"/>
      <c r="C136" s="99"/>
      <c r="D136" s="99"/>
      <c r="E136" s="99"/>
      <c r="F136" s="99"/>
      <c r="G136" s="99"/>
    </row>
    <row r="137" spans="1:7" ht="27" customHeight="1">
      <c r="A137" s="49" t="s">
        <v>193</v>
      </c>
      <c r="B137" s="98" t="s">
        <v>535</v>
      </c>
      <c r="C137" s="98"/>
      <c r="D137" s="98"/>
      <c r="E137" s="98"/>
      <c r="F137" s="98"/>
      <c r="G137" s="98"/>
    </row>
    <row r="138" spans="1:7" ht="31.5" customHeight="1">
      <c r="A138" s="49" t="s">
        <v>6</v>
      </c>
      <c r="B138" s="98" t="s">
        <v>571</v>
      </c>
      <c r="C138" s="98"/>
      <c r="D138" s="98"/>
      <c r="E138" s="98"/>
      <c r="F138" s="98"/>
      <c r="G138" s="98"/>
    </row>
    <row r="139" spans="1:7" ht="15.75">
      <c r="A139" s="49" t="s">
        <v>195</v>
      </c>
      <c r="B139" s="95" t="s">
        <v>259</v>
      </c>
      <c r="C139" s="95"/>
      <c r="D139" s="95"/>
      <c r="E139" s="95"/>
      <c r="F139" s="95"/>
      <c r="G139" s="95"/>
    </row>
    <row r="140" spans="1:7" ht="31.5" customHeight="1">
      <c r="A140" s="99" t="str">
        <f>+A51</f>
        <v>Promedio de enseñanza-aprendizaje de las acciones de capacitación presencial en Protección de Datos Personales
(PEADP)</v>
      </c>
      <c r="B140" s="99"/>
      <c r="C140" s="99"/>
      <c r="D140" s="99"/>
      <c r="E140" s="99"/>
      <c r="F140" s="99"/>
      <c r="G140" s="99"/>
    </row>
    <row r="141" spans="1:7" ht="31.5" customHeight="1">
      <c r="A141" s="49" t="s">
        <v>193</v>
      </c>
      <c r="B141" s="94" t="s">
        <v>536</v>
      </c>
      <c r="C141" s="94"/>
      <c r="D141" s="94"/>
      <c r="E141" s="94"/>
      <c r="F141" s="94"/>
      <c r="G141" s="94"/>
    </row>
    <row r="142" spans="1:7" ht="31.5" customHeight="1">
      <c r="A142" s="49" t="s">
        <v>6</v>
      </c>
      <c r="B142" s="94" t="s">
        <v>572</v>
      </c>
      <c r="C142" s="94"/>
      <c r="D142" s="94"/>
      <c r="E142" s="94"/>
      <c r="F142" s="94"/>
      <c r="G142" s="94"/>
    </row>
    <row r="143" spans="1:7" ht="15.75">
      <c r="A143" s="49" t="s">
        <v>195</v>
      </c>
      <c r="B143" s="95" t="s">
        <v>259</v>
      </c>
      <c r="C143" s="95"/>
      <c r="D143" s="95"/>
      <c r="E143" s="95"/>
      <c r="F143" s="95"/>
      <c r="G143" s="95"/>
    </row>
    <row r="144" spans="1:7" ht="31.5" customHeight="1">
      <c r="A144" s="99" t="str">
        <f>+A55</f>
        <v>Promedio de calidad de las acciones de capacitación presencial en Protección de Datos Personales
PCDP</v>
      </c>
      <c r="B144" s="99"/>
      <c r="C144" s="99"/>
      <c r="D144" s="99"/>
      <c r="E144" s="99"/>
      <c r="F144" s="99"/>
      <c r="G144" s="99"/>
    </row>
    <row r="145" spans="1:7" ht="39" customHeight="1">
      <c r="A145" s="49" t="s">
        <v>193</v>
      </c>
      <c r="B145" s="98" t="s">
        <v>537</v>
      </c>
      <c r="C145" s="98"/>
      <c r="D145" s="98"/>
      <c r="E145" s="98"/>
      <c r="F145" s="98"/>
      <c r="G145" s="98"/>
    </row>
    <row r="146" spans="1:7" ht="31.5" customHeight="1">
      <c r="A146" s="49" t="s">
        <v>6</v>
      </c>
      <c r="B146" s="94" t="s">
        <v>538</v>
      </c>
      <c r="C146" s="94"/>
      <c r="D146" s="94"/>
      <c r="E146" s="94"/>
      <c r="F146" s="94"/>
      <c r="G146" s="94"/>
    </row>
    <row r="147" spans="1:7" ht="15.75">
      <c r="A147" s="49" t="s">
        <v>195</v>
      </c>
      <c r="B147" s="95" t="s">
        <v>259</v>
      </c>
      <c r="C147" s="95"/>
      <c r="D147" s="95"/>
      <c r="E147" s="95"/>
      <c r="F147" s="95"/>
      <c r="G147" s="95"/>
    </row>
    <row r="148" spans="1:7" ht="15.75">
      <c r="A148" s="99" t="str">
        <f>+A59</f>
        <v>Promedio de evaluación de enseñanza-aprendizaje de las acciones de capacitación presenciales en materia de Acceso a la Información y temas relacionados (PEAA)</v>
      </c>
      <c r="B148" s="99"/>
      <c r="C148" s="99"/>
      <c r="D148" s="99"/>
      <c r="E148" s="99"/>
      <c r="F148" s="99"/>
      <c r="G148" s="99"/>
    </row>
    <row r="149" spans="1:7" ht="56.25" customHeight="1">
      <c r="A149" s="49" t="s">
        <v>193</v>
      </c>
      <c r="B149" s="94" t="s">
        <v>539</v>
      </c>
      <c r="C149" s="94"/>
      <c r="D149" s="94"/>
      <c r="E149" s="94"/>
      <c r="F149" s="94"/>
      <c r="G149" s="94"/>
    </row>
    <row r="150" spans="1:7" ht="39.75" customHeight="1">
      <c r="A150" s="49" t="s">
        <v>6</v>
      </c>
      <c r="B150" s="94" t="s">
        <v>573</v>
      </c>
      <c r="C150" s="94"/>
      <c r="D150" s="94"/>
      <c r="E150" s="94"/>
      <c r="F150" s="94"/>
      <c r="G150" s="94"/>
    </row>
    <row r="151" spans="1:7" ht="15.75">
      <c r="A151" s="49" t="s">
        <v>195</v>
      </c>
      <c r="B151" s="95" t="s">
        <v>259</v>
      </c>
      <c r="C151" s="95"/>
      <c r="D151" s="95"/>
      <c r="E151" s="95"/>
      <c r="F151" s="95"/>
      <c r="G151" s="95"/>
    </row>
    <row r="152" spans="1:7" ht="31.5" customHeight="1">
      <c r="A152" s="99" t="str">
        <f>+A63</f>
        <v>Tasa de variación de Eficiencia Terminal de la capacitación en la modalidad en línea en protección de Datos Personales.
TVETDP</v>
      </c>
      <c r="B152" s="99"/>
      <c r="C152" s="99"/>
      <c r="D152" s="99"/>
      <c r="E152" s="99"/>
      <c r="F152" s="99"/>
      <c r="G152" s="99"/>
    </row>
    <row r="153" spans="1:7" ht="15.75">
      <c r="A153" s="49" t="s">
        <v>193</v>
      </c>
      <c r="B153" s="98" t="s">
        <v>540</v>
      </c>
      <c r="C153" s="98"/>
      <c r="D153" s="98"/>
      <c r="E153" s="98"/>
      <c r="F153" s="98"/>
      <c r="G153" s="98"/>
    </row>
    <row r="154" spans="1:7" ht="31.5" customHeight="1">
      <c r="A154" s="49" t="s">
        <v>6</v>
      </c>
      <c r="B154" s="98" t="s">
        <v>541</v>
      </c>
      <c r="C154" s="98"/>
      <c r="D154" s="98"/>
      <c r="E154" s="98"/>
      <c r="F154" s="98"/>
      <c r="G154" s="98"/>
    </row>
    <row r="155" spans="1:7" ht="15.75">
      <c r="A155" s="49" t="s">
        <v>195</v>
      </c>
      <c r="B155" s="95" t="s">
        <v>259</v>
      </c>
      <c r="C155" s="95"/>
      <c r="D155" s="95"/>
      <c r="E155" s="95"/>
      <c r="F155" s="95"/>
      <c r="G155" s="95"/>
    </row>
    <row r="156" spans="1:7" ht="15.75">
      <c r="A156" s="99" t="str">
        <f>+A67</f>
        <v>Porcentaje de servidores públicos que concluyen satisfactoriamente los cursos en línea disponibles en  los Campus dirigidos a Sujetos Obligados (PETCLA)</v>
      </c>
      <c r="B156" s="99"/>
      <c r="C156" s="99"/>
      <c r="D156" s="99"/>
      <c r="E156" s="99"/>
      <c r="F156" s="99"/>
      <c r="G156" s="99"/>
    </row>
    <row r="157" spans="1:7" ht="31.5" customHeight="1">
      <c r="A157" s="49" t="s">
        <v>193</v>
      </c>
      <c r="B157" s="98" t="s">
        <v>542</v>
      </c>
      <c r="C157" s="98"/>
      <c r="D157" s="98"/>
      <c r="E157" s="98"/>
      <c r="F157" s="98"/>
      <c r="G157" s="98"/>
    </row>
    <row r="158" spans="1:7" ht="41.25" customHeight="1">
      <c r="A158" s="49" t="s">
        <v>6</v>
      </c>
      <c r="B158" s="98" t="s">
        <v>574</v>
      </c>
      <c r="C158" s="98"/>
      <c r="D158" s="98"/>
      <c r="E158" s="98"/>
      <c r="F158" s="98"/>
      <c r="G158" s="98"/>
    </row>
    <row r="159" spans="1:7" ht="15.75">
      <c r="A159" s="49" t="s">
        <v>195</v>
      </c>
      <c r="B159" s="95" t="s">
        <v>259</v>
      </c>
      <c r="C159" s="95"/>
      <c r="D159" s="95"/>
      <c r="E159" s="95"/>
      <c r="F159" s="95"/>
      <c r="G159" s="95"/>
    </row>
    <row r="160" spans="1:7" ht="31.5" customHeight="1">
      <c r="A160" s="99" t="str">
        <f>+A71</f>
        <v>Promedio de cumplimiento de acciones de Formación Educativa 
PCAFE</v>
      </c>
      <c r="B160" s="99"/>
      <c r="C160" s="99"/>
      <c r="D160" s="99"/>
      <c r="E160" s="99"/>
      <c r="F160" s="99"/>
      <c r="G160" s="99"/>
    </row>
    <row r="161" spans="1:7" ht="54.75" customHeight="1">
      <c r="A161" s="49" t="s">
        <v>193</v>
      </c>
      <c r="B161" s="98" t="s">
        <v>543</v>
      </c>
      <c r="C161" s="98"/>
      <c r="D161" s="98"/>
      <c r="E161" s="98"/>
      <c r="F161" s="98"/>
      <c r="G161" s="98"/>
    </row>
    <row r="162" spans="1:7" ht="31.5" customHeight="1">
      <c r="A162" s="49" t="s">
        <v>6</v>
      </c>
      <c r="B162" s="98" t="s">
        <v>544</v>
      </c>
      <c r="C162" s="98"/>
      <c r="D162" s="98"/>
      <c r="E162" s="98"/>
      <c r="F162" s="98"/>
      <c r="G162" s="98"/>
    </row>
    <row r="163" spans="1:7" ht="15.75">
      <c r="A163" s="49" t="s">
        <v>195</v>
      </c>
      <c r="B163" s="95" t="s">
        <v>259</v>
      </c>
      <c r="C163" s="95"/>
      <c r="D163" s="95"/>
      <c r="E163" s="95"/>
      <c r="F163" s="95"/>
      <c r="G163" s="95"/>
    </row>
    <row r="164" spans="1:7" ht="31.5" customHeight="1">
      <c r="A164" s="99" t="str">
        <f>+A77</f>
        <v>Porcentaje de cumplimiento de acciones de capacitación en la modalidad presencial en materia de protección de datos personales, dirigidas a MiPYMES, Emprendedores.
(PCACP)</v>
      </c>
      <c r="B164" s="99"/>
      <c r="C164" s="99"/>
      <c r="D164" s="99"/>
      <c r="E164" s="99"/>
      <c r="F164" s="99"/>
      <c r="G164" s="99"/>
    </row>
    <row r="165" spans="1:7" ht="15.75">
      <c r="A165" s="49" t="s">
        <v>193</v>
      </c>
      <c r="B165" s="98" t="s">
        <v>545</v>
      </c>
      <c r="C165" s="98"/>
      <c r="D165" s="98"/>
      <c r="E165" s="98"/>
      <c r="F165" s="98"/>
      <c r="G165" s="98"/>
    </row>
    <row r="166" spans="1:7" ht="15.75">
      <c r="A166" s="49" t="s">
        <v>6</v>
      </c>
      <c r="B166" s="98" t="s">
        <v>546</v>
      </c>
      <c r="C166" s="98"/>
      <c r="D166" s="98"/>
      <c r="E166" s="98"/>
      <c r="F166" s="98"/>
      <c r="G166" s="98"/>
    </row>
    <row r="167" spans="1:7" ht="15.75">
      <c r="A167" s="49" t="s">
        <v>195</v>
      </c>
      <c r="B167" s="95" t="s">
        <v>259</v>
      </c>
      <c r="C167" s="95"/>
      <c r="D167" s="95"/>
      <c r="E167" s="95"/>
      <c r="F167" s="95"/>
      <c r="G167" s="95"/>
    </row>
    <row r="168" spans="1:7" ht="15.75">
      <c r="A168" s="99" t="str">
        <f>+A81</f>
        <v>Porcentaje de cumplimiento de las metas establecidas en el programa de cursos de capacitación presenciales en materia de acceso a la información y temas relacionados  (PCA)</v>
      </c>
      <c r="B168" s="99"/>
      <c r="C168" s="99"/>
      <c r="D168" s="99"/>
      <c r="E168" s="99"/>
      <c r="F168" s="99"/>
      <c r="G168" s="99"/>
    </row>
    <row r="169" spans="1:7" ht="31.5" customHeight="1">
      <c r="A169" s="49" t="s">
        <v>193</v>
      </c>
      <c r="B169" s="94" t="s">
        <v>901</v>
      </c>
      <c r="C169" s="94"/>
      <c r="D169" s="94"/>
      <c r="E169" s="94"/>
      <c r="F169" s="94"/>
      <c r="G169" s="94"/>
    </row>
    <row r="170" spans="1:7" ht="15.75">
      <c r="A170" s="49" t="s">
        <v>6</v>
      </c>
      <c r="B170" s="94" t="s">
        <v>902</v>
      </c>
      <c r="C170" s="94"/>
      <c r="D170" s="94"/>
      <c r="E170" s="94"/>
      <c r="F170" s="94"/>
      <c r="G170" s="94"/>
    </row>
    <row r="171" spans="1:7" ht="15.75">
      <c r="A171" s="49" t="s">
        <v>195</v>
      </c>
      <c r="B171" s="95" t="s">
        <v>259</v>
      </c>
      <c r="C171" s="95"/>
      <c r="D171" s="95"/>
      <c r="E171" s="95"/>
      <c r="F171" s="95"/>
      <c r="G171" s="95"/>
    </row>
    <row r="172" spans="1:7" ht="15.75">
      <c r="A172" s="99" t="str">
        <f>+A85</f>
        <v>Promedio de calificaciones de evaluaciones de calidad de los cursos presenciales en Acceso y temas relacionados (PCSA)</v>
      </c>
      <c r="B172" s="99"/>
      <c r="C172" s="99"/>
      <c r="D172" s="99"/>
      <c r="E172" s="99"/>
      <c r="F172" s="99"/>
      <c r="G172" s="99"/>
    </row>
    <row r="173" spans="1:7" ht="54" customHeight="1">
      <c r="A173" s="49" t="s">
        <v>193</v>
      </c>
      <c r="B173" s="94" t="s">
        <v>547</v>
      </c>
      <c r="C173" s="94"/>
      <c r="D173" s="94"/>
      <c r="E173" s="94"/>
      <c r="F173" s="94"/>
      <c r="G173" s="94"/>
    </row>
    <row r="174" spans="1:7" ht="15.75">
      <c r="A174" s="49" t="s">
        <v>6</v>
      </c>
      <c r="B174" s="94" t="s">
        <v>548</v>
      </c>
      <c r="C174" s="94"/>
      <c r="D174" s="94"/>
      <c r="E174" s="94"/>
      <c r="F174" s="94"/>
      <c r="G174" s="94"/>
    </row>
    <row r="175" spans="1:7" ht="15.75">
      <c r="A175" s="49" t="s">
        <v>195</v>
      </c>
      <c r="B175" s="95" t="s">
        <v>259</v>
      </c>
      <c r="C175" s="95"/>
      <c r="D175" s="95"/>
      <c r="E175" s="95"/>
      <c r="F175" s="95"/>
      <c r="G175" s="95"/>
    </row>
    <row r="176" spans="1:7" ht="15.75">
      <c r="A176" s="99" t="str">
        <f>+A89</f>
        <v>Porcentaje de la implementación de los nuevos cursos en línea sobre la Ley General de Protección de Datos Personales, Clasificación de la Información y la Guía para la carga de información en el SIPOT (PICL)</v>
      </c>
      <c r="B176" s="99"/>
      <c r="C176" s="99"/>
      <c r="D176" s="99"/>
      <c r="E176" s="99"/>
      <c r="F176" s="99"/>
      <c r="G176" s="99"/>
    </row>
    <row r="177" spans="1:7" ht="31.5" customHeight="1">
      <c r="A177" s="49" t="s">
        <v>193</v>
      </c>
      <c r="B177" s="98" t="s">
        <v>549</v>
      </c>
      <c r="C177" s="98"/>
      <c r="D177" s="98"/>
      <c r="E177" s="98"/>
      <c r="F177" s="98"/>
      <c r="G177" s="98"/>
    </row>
    <row r="178" spans="1:7" ht="31.5" customHeight="1">
      <c r="A178" s="49" t="s">
        <v>6</v>
      </c>
      <c r="B178" s="98" t="s">
        <v>550</v>
      </c>
      <c r="C178" s="98"/>
      <c r="D178" s="98"/>
      <c r="E178" s="98"/>
      <c r="F178" s="98"/>
      <c r="G178" s="98"/>
    </row>
    <row r="179" spans="1:7" ht="15.75">
      <c r="A179" s="49" t="s">
        <v>195</v>
      </c>
      <c r="B179" s="95" t="s">
        <v>259</v>
      </c>
      <c r="C179" s="95"/>
      <c r="D179" s="95"/>
      <c r="E179" s="95"/>
      <c r="F179" s="95"/>
      <c r="G179" s="95"/>
    </row>
    <row r="180" spans="1:7" ht="15.75">
      <c r="A180" s="99" t="str">
        <f>+A93</f>
        <v>Porcentaje de talleres realizados en los que se promueve la capacitación en línea </v>
      </c>
      <c r="B180" s="99"/>
      <c r="C180" s="99"/>
      <c r="D180" s="99"/>
      <c r="E180" s="99"/>
      <c r="F180" s="99"/>
      <c r="G180" s="99"/>
    </row>
    <row r="181" spans="1:7" ht="42.75" customHeight="1">
      <c r="A181" s="49" t="s">
        <v>193</v>
      </c>
      <c r="B181" s="98" t="s">
        <v>551</v>
      </c>
      <c r="C181" s="98"/>
      <c r="D181" s="98"/>
      <c r="E181" s="98"/>
      <c r="F181" s="98"/>
      <c r="G181" s="98"/>
    </row>
    <row r="182" spans="1:7" ht="31.5" customHeight="1">
      <c r="A182" s="49" t="s">
        <v>6</v>
      </c>
      <c r="B182" s="98" t="s">
        <v>552</v>
      </c>
      <c r="C182" s="98"/>
      <c r="D182" s="98"/>
      <c r="E182" s="98"/>
      <c r="F182" s="98"/>
      <c r="G182" s="98"/>
    </row>
    <row r="183" spans="1:7" ht="15.75">
      <c r="A183" s="49" t="s">
        <v>195</v>
      </c>
      <c r="B183" s="95" t="s">
        <v>259</v>
      </c>
      <c r="C183" s="95"/>
      <c r="D183" s="95"/>
      <c r="E183" s="95"/>
      <c r="F183" s="95"/>
      <c r="G183" s="95"/>
    </row>
    <row r="184" spans="1:7" ht="31.5" customHeight="1">
      <c r="A184" s="99" t="str">
        <f>+A97</f>
        <v>Porcentaje de cumplimiento de las metas establecidas.
PMRD</v>
      </c>
      <c r="B184" s="99"/>
      <c r="C184" s="99"/>
      <c r="D184" s="99"/>
      <c r="E184" s="99"/>
      <c r="F184" s="99"/>
      <c r="G184" s="99"/>
    </row>
    <row r="185" spans="1:7" ht="31.5" customHeight="1">
      <c r="A185" s="49" t="s">
        <v>193</v>
      </c>
      <c r="B185" s="98" t="s">
        <v>553</v>
      </c>
      <c r="C185" s="98"/>
      <c r="D185" s="98"/>
      <c r="E185" s="98"/>
      <c r="F185" s="98"/>
      <c r="G185" s="98"/>
    </row>
    <row r="186" spans="1:7" ht="31.5" customHeight="1">
      <c r="A186" s="49" t="s">
        <v>6</v>
      </c>
      <c r="B186" s="98" t="s">
        <v>554</v>
      </c>
      <c r="C186" s="98"/>
      <c r="D186" s="98"/>
      <c r="E186" s="98"/>
      <c r="F186" s="98"/>
      <c r="G186" s="98"/>
    </row>
    <row r="187" spans="1:7" ht="15.75">
      <c r="A187" s="49" t="s">
        <v>195</v>
      </c>
      <c r="B187" s="95" t="s">
        <v>259</v>
      </c>
      <c r="C187" s="95"/>
      <c r="D187" s="95"/>
      <c r="E187" s="95"/>
      <c r="F187" s="95"/>
      <c r="G187" s="95"/>
    </row>
    <row r="188" spans="1:7" ht="31.5" customHeight="1">
      <c r="A188" s="99" t="str">
        <f>+A101</f>
        <v>Porcentaje de cumplimiento de las metas establecidas respecto al Diplomado en Protección de Datos Personales.
PCD</v>
      </c>
      <c r="B188" s="99"/>
      <c r="C188" s="99"/>
      <c r="D188" s="99"/>
      <c r="E188" s="99"/>
      <c r="F188" s="99"/>
      <c r="G188" s="99"/>
    </row>
    <row r="189" spans="1:7" ht="31.5" customHeight="1">
      <c r="A189" s="49" t="s">
        <v>193</v>
      </c>
      <c r="B189" s="98" t="s">
        <v>555</v>
      </c>
      <c r="C189" s="98"/>
      <c r="D189" s="98"/>
      <c r="E189" s="98"/>
      <c r="F189" s="98"/>
      <c r="G189" s="98"/>
    </row>
    <row r="190" spans="1:7" ht="15.75">
      <c r="A190" s="49" t="s">
        <v>6</v>
      </c>
      <c r="B190" s="98" t="s">
        <v>556</v>
      </c>
      <c r="C190" s="98"/>
      <c r="D190" s="98"/>
      <c r="E190" s="98"/>
      <c r="F190" s="98"/>
      <c r="G190" s="98"/>
    </row>
    <row r="191" spans="1:7" ht="15.75">
      <c r="A191" s="49" t="s">
        <v>195</v>
      </c>
      <c r="B191" s="95" t="s">
        <v>259</v>
      </c>
      <c r="C191" s="95"/>
      <c r="D191" s="95"/>
      <c r="E191" s="95"/>
      <c r="F191" s="95"/>
      <c r="G191" s="95"/>
    </row>
    <row r="192" spans="1:7" ht="31.5" customHeight="1">
      <c r="A192" s="150" t="str">
        <f>+A105</f>
        <v>Porcentaje de cumplimiento de las metas establecidas respecto al desarrollo de las acciones del programa de Maestría en Derecho en el campo del conocimiento del Derecho a la Información.
PCM</v>
      </c>
      <c r="B192" s="151"/>
      <c r="C192" s="151"/>
      <c r="D192" s="151"/>
      <c r="E192" s="151"/>
      <c r="F192" s="151"/>
      <c r="G192" s="152"/>
    </row>
    <row r="193" spans="1:7" ht="31.5" customHeight="1">
      <c r="A193" s="49" t="s">
        <v>193</v>
      </c>
      <c r="B193" s="98" t="s">
        <v>557</v>
      </c>
      <c r="C193" s="98"/>
      <c r="D193" s="98"/>
      <c r="E193" s="98"/>
      <c r="F193" s="98"/>
      <c r="G193" s="98"/>
    </row>
    <row r="194" spans="1:7" ht="31.5" customHeight="1">
      <c r="A194" s="49" t="s">
        <v>6</v>
      </c>
      <c r="B194" s="98" t="s">
        <v>558</v>
      </c>
      <c r="C194" s="98"/>
      <c r="D194" s="98"/>
      <c r="E194" s="98"/>
      <c r="F194" s="98"/>
      <c r="G194" s="98"/>
    </row>
    <row r="195" spans="1:7" ht="15.75">
      <c r="A195" s="49" t="s">
        <v>195</v>
      </c>
      <c r="B195" s="95"/>
      <c r="C195" s="95"/>
      <c r="D195" s="95"/>
      <c r="E195" s="95"/>
      <c r="F195" s="95"/>
      <c r="G195" s="95"/>
    </row>
    <row r="196" spans="1:7" ht="31.5" customHeight="1">
      <c r="A196" s="150" t="str">
        <f>+A109</f>
        <v>Porcentaje de cumplimiento de las metas establecidas respecto al Aula Iberoamericana en Protección de Datos Personales.
PCA</v>
      </c>
      <c r="B196" s="151"/>
      <c r="C196" s="151"/>
      <c r="D196" s="151"/>
      <c r="E196" s="151"/>
      <c r="F196" s="151"/>
      <c r="G196" s="152"/>
    </row>
    <row r="197" spans="1:7" ht="31.5" customHeight="1">
      <c r="A197" s="49" t="s">
        <v>193</v>
      </c>
      <c r="B197" s="98" t="s">
        <v>559</v>
      </c>
      <c r="C197" s="98"/>
      <c r="D197" s="98"/>
      <c r="E197" s="98"/>
      <c r="F197" s="98"/>
      <c r="G197" s="98"/>
    </row>
    <row r="198" spans="1:7" ht="31.5" customHeight="1">
      <c r="A198" s="49" t="s">
        <v>6</v>
      </c>
      <c r="B198" s="98" t="s">
        <v>575</v>
      </c>
      <c r="C198" s="98"/>
      <c r="D198" s="98"/>
      <c r="E198" s="98"/>
      <c r="F198" s="98"/>
      <c r="G198" s="98"/>
    </row>
    <row r="199" spans="1:7" ht="15.75">
      <c r="A199" s="49" t="s">
        <v>195</v>
      </c>
      <c r="B199" s="95" t="s">
        <v>259</v>
      </c>
      <c r="C199" s="95"/>
      <c r="D199" s="95"/>
      <c r="E199" s="95"/>
      <c r="F199" s="95"/>
      <c r="G199" s="95"/>
    </row>
    <row r="200" spans="1:7" ht="15.75">
      <c r="A200" s="150" t="str">
        <f>+A113</f>
        <v>Porcentaje de cumplimiento de las metas de capacitación especializada (PCCE)</v>
      </c>
      <c r="B200" s="151"/>
      <c r="C200" s="151"/>
      <c r="D200" s="151"/>
      <c r="E200" s="151"/>
      <c r="F200" s="151"/>
      <c r="G200" s="152"/>
    </row>
    <row r="201" spans="1:7" ht="15.75">
      <c r="A201" s="49" t="s">
        <v>193</v>
      </c>
      <c r="B201" s="98" t="s">
        <v>560</v>
      </c>
      <c r="C201" s="98"/>
      <c r="D201" s="98"/>
      <c r="E201" s="98"/>
      <c r="F201" s="98"/>
      <c r="G201" s="98"/>
    </row>
    <row r="202" spans="1:7" ht="31.5" customHeight="1">
      <c r="A202" s="49" t="s">
        <v>6</v>
      </c>
      <c r="B202" s="98" t="s">
        <v>561</v>
      </c>
      <c r="C202" s="98"/>
      <c r="D202" s="98"/>
      <c r="E202" s="98"/>
      <c r="F202" s="98"/>
      <c r="G202" s="98"/>
    </row>
    <row r="203" spans="1:7" ht="15.75">
      <c r="A203" s="49" t="s">
        <v>195</v>
      </c>
      <c r="B203" s="95" t="s">
        <v>259</v>
      </c>
      <c r="C203" s="95"/>
      <c r="D203" s="95"/>
      <c r="E203" s="95"/>
      <c r="F203" s="95"/>
      <c r="G203" s="95"/>
    </row>
    <row r="204" spans="1:7" ht="15.75">
      <c r="A204" s="150" t="str">
        <f>+A117</f>
        <v>Porcentaje de atención a solicitudes de capacitación en acceso a la información, protección de datos personales y archivos concertadas con los Estados (PASE)</v>
      </c>
      <c r="B204" s="151"/>
      <c r="C204" s="151"/>
      <c r="D204" s="151"/>
      <c r="E204" s="151"/>
      <c r="F204" s="151"/>
      <c r="G204" s="152"/>
    </row>
    <row r="205" spans="1:7" ht="15.75">
      <c r="A205" s="49" t="s">
        <v>193</v>
      </c>
      <c r="B205" s="201" t="s">
        <v>562</v>
      </c>
      <c r="C205" s="201"/>
      <c r="D205" s="201"/>
      <c r="E205" s="201"/>
      <c r="F205" s="201"/>
      <c r="G205" s="201"/>
    </row>
    <row r="206" spans="1:7" ht="31.5" customHeight="1">
      <c r="A206" s="49" t="s">
        <v>6</v>
      </c>
      <c r="B206" s="98" t="s">
        <v>563</v>
      </c>
      <c r="C206" s="98"/>
      <c r="D206" s="98"/>
      <c r="E206" s="98"/>
      <c r="F206" s="98"/>
      <c r="G206" s="98"/>
    </row>
    <row r="207" spans="1:7" ht="15.75">
      <c r="A207" s="49" t="s">
        <v>195</v>
      </c>
      <c r="B207" s="95" t="s">
        <v>259</v>
      </c>
      <c r="C207" s="95"/>
      <c r="D207" s="95"/>
      <c r="E207" s="95"/>
      <c r="F207" s="95"/>
      <c r="G207" s="95"/>
    </row>
    <row r="208" spans="1:7" ht="31.5" customHeight="1">
      <c r="A208" s="150" t="str">
        <f>+A121</f>
        <v>Porcentaje de cumplimiento de las metas de capacitación presencial del Programa de Vinculación con Asociaciones y Cámaras del Sector .
(PCPV)</v>
      </c>
      <c r="B208" s="151"/>
      <c r="C208" s="151"/>
      <c r="D208" s="151"/>
      <c r="E208" s="151"/>
      <c r="F208" s="151"/>
      <c r="G208" s="152"/>
    </row>
    <row r="209" spans="1:7" ht="15.75">
      <c r="A209" s="49" t="s">
        <v>193</v>
      </c>
      <c r="B209" s="201" t="s">
        <v>564</v>
      </c>
      <c r="C209" s="201"/>
      <c r="D209" s="201"/>
      <c r="E209" s="201"/>
      <c r="F209" s="201"/>
      <c r="G209" s="201"/>
    </row>
    <row r="210" spans="1:7" ht="31.5" customHeight="1">
      <c r="A210" s="49" t="s">
        <v>6</v>
      </c>
      <c r="B210" s="98" t="s">
        <v>565</v>
      </c>
      <c r="C210" s="98"/>
      <c r="D210" s="98"/>
      <c r="E210" s="98"/>
      <c r="F210" s="98"/>
      <c r="G210" s="98"/>
    </row>
    <row r="211" spans="1:7" ht="15.75">
      <c r="A211" s="49" t="s">
        <v>195</v>
      </c>
      <c r="B211" s="95" t="s">
        <v>259</v>
      </c>
      <c r="C211" s="95"/>
      <c r="D211" s="95"/>
      <c r="E211" s="95"/>
      <c r="F211" s="95"/>
      <c r="G211" s="95"/>
    </row>
    <row r="212" spans="1:7" ht="15.75">
      <c r="A212" s="150" t="s">
        <v>566</v>
      </c>
      <c r="B212" s="151"/>
      <c r="C212" s="151"/>
      <c r="D212" s="151"/>
      <c r="E212" s="151"/>
      <c r="F212" s="151"/>
      <c r="G212" s="152"/>
    </row>
    <row r="213" spans="1:7" ht="31.5" customHeight="1">
      <c r="A213" s="49" t="s">
        <v>193</v>
      </c>
      <c r="B213" s="211" t="s">
        <v>567</v>
      </c>
      <c r="C213" s="211"/>
      <c r="D213" s="211"/>
      <c r="E213" s="211"/>
      <c r="F213" s="211"/>
      <c r="G213" s="211"/>
    </row>
    <row r="214" spans="1:7" ht="31.5" customHeight="1">
      <c r="A214" s="49" t="s">
        <v>6</v>
      </c>
      <c r="B214" s="211" t="s">
        <v>567</v>
      </c>
      <c r="C214" s="211"/>
      <c r="D214" s="211"/>
      <c r="E214" s="211"/>
      <c r="F214" s="211"/>
      <c r="G214" s="211"/>
    </row>
    <row r="215" spans="1:7" ht="15.75">
      <c r="A215" s="49" t="s">
        <v>195</v>
      </c>
      <c r="B215" s="91" t="s">
        <v>259</v>
      </c>
      <c r="C215" s="91"/>
      <c r="D215" s="91"/>
      <c r="E215" s="91"/>
      <c r="F215" s="91"/>
      <c r="G215" s="91"/>
    </row>
    <row r="216" spans="1:7" ht="15.75">
      <c r="A216" s="150" t="s">
        <v>568</v>
      </c>
      <c r="B216" s="151"/>
      <c r="C216" s="151"/>
      <c r="D216" s="151"/>
      <c r="E216" s="151"/>
      <c r="F216" s="151"/>
      <c r="G216" s="152"/>
    </row>
    <row r="217" spans="1:7" ht="31.5" customHeight="1">
      <c r="A217" s="49" t="s">
        <v>193</v>
      </c>
      <c r="B217" s="211" t="s">
        <v>567</v>
      </c>
      <c r="C217" s="211"/>
      <c r="D217" s="211"/>
      <c r="E217" s="211"/>
      <c r="F217" s="211"/>
      <c r="G217" s="211"/>
    </row>
    <row r="218" spans="1:7" ht="31.5" customHeight="1">
      <c r="A218" s="49" t="s">
        <v>6</v>
      </c>
      <c r="B218" s="211" t="s">
        <v>567</v>
      </c>
      <c r="C218" s="211"/>
      <c r="D218" s="211"/>
      <c r="E218" s="211"/>
      <c r="F218" s="211"/>
      <c r="G218" s="211"/>
    </row>
    <row r="219" spans="1:7" ht="15.75">
      <c r="A219" s="49" t="s">
        <v>195</v>
      </c>
      <c r="B219" s="91" t="s">
        <v>259</v>
      </c>
      <c r="C219" s="91"/>
      <c r="D219" s="91"/>
      <c r="E219" s="91"/>
      <c r="F219" s="91"/>
      <c r="G219" s="91"/>
    </row>
    <row r="220" spans="1:7" ht="15.75">
      <c r="A220" s="146"/>
      <c r="B220" s="146"/>
      <c r="C220" s="146"/>
      <c r="D220" s="146"/>
      <c r="E220" s="146"/>
      <c r="F220" s="146"/>
      <c r="G220" s="146"/>
    </row>
    <row r="221" spans="1:7" ht="15.75">
      <c r="A221" s="96" t="s">
        <v>226</v>
      </c>
      <c r="B221" s="96"/>
      <c r="C221" s="96"/>
      <c r="D221" s="96"/>
      <c r="E221" s="96"/>
      <c r="F221" s="96"/>
      <c r="G221" s="96"/>
    </row>
    <row r="222" spans="1:7" ht="15.75">
      <c r="A222" s="90" t="s">
        <v>487</v>
      </c>
      <c r="B222" s="90"/>
      <c r="C222" s="90"/>
      <c r="D222" s="90"/>
      <c r="E222" s="90"/>
      <c r="F222" s="90"/>
      <c r="G222" s="90"/>
    </row>
    <row r="223" spans="1:7" ht="15.75">
      <c r="A223" s="49" t="s">
        <v>227</v>
      </c>
      <c r="B223" s="91" t="s">
        <v>569</v>
      </c>
      <c r="C223" s="91"/>
      <c r="D223" s="91"/>
      <c r="E223" s="91"/>
      <c r="F223" s="91"/>
      <c r="G223" s="91"/>
    </row>
    <row r="224" spans="1:7" ht="15.75">
      <c r="A224" s="90" t="s">
        <v>566</v>
      </c>
      <c r="B224" s="90"/>
      <c r="C224" s="90"/>
      <c r="D224" s="90"/>
      <c r="E224" s="90"/>
      <c r="F224" s="90"/>
      <c r="G224" s="90"/>
    </row>
    <row r="225" spans="1:7" ht="31.5" customHeight="1">
      <c r="A225" s="49" t="s">
        <v>227</v>
      </c>
      <c r="B225" s="91" t="s">
        <v>570</v>
      </c>
      <c r="C225" s="91"/>
      <c r="D225" s="91"/>
      <c r="E225" s="91"/>
      <c r="F225" s="91"/>
      <c r="G225" s="91"/>
    </row>
    <row r="226" spans="1:7" ht="15.75">
      <c r="A226" s="90" t="s">
        <v>568</v>
      </c>
      <c r="B226" s="90"/>
      <c r="C226" s="90"/>
      <c r="D226" s="90"/>
      <c r="E226" s="90"/>
      <c r="F226" s="90"/>
      <c r="G226" s="90"/>
    </row>
    <row r="227" spans="1:7" ht="31.5" customHeight="1">
      <c r="A227" s="49" t="s">
        <v>227</v>
      </c>
      <c r="B227" s="91" t="s">
        <v>570</v>
      </c>
      <c r="C227" s="91"/>
      <c r="D227" s="91"/>
      <c r="E227" s="91"/>
      <c r="F227" s="91"/>
      <c r="G227" s="91"/>
    </row>
    <row r="228" spans="1:7" ht="15.75">
      <c r="A228" s="146"/>
      <c r="B228" s="146"/>
      <c r="C228" s="146"/>
      <c r="D228" s="146"/>
      <c r="E228" s="146"/>
      <c r="F228" s="146"/>
      <c r="G228" s="146"/>
    </row>
    <row r="229" spans="1:7" ht="31.5" customHeight="1">
      <c r="A229" s="196" t="s">
        <v>229</v>
      </c>
      <c r="B229" s="197"/>
      <c r="C229" s="197"/>
      <c r="D229" s="197"/>
      <c r="E229" s="197"/>
      <c r="F229" s="197"/>
      <c r="G229" s="197"/>
    </row>
  </sheetData>
  <sheetProtection/>
  <mergeCells count="372">
    <mergeCell ref="A226:G226"/>
    <mergeCell ref="B227:G227"/>
    <mergeCell ref="A228:G228"/>
    <mergeCell ref="A229:G229"/>
    <mergeCell ref="A220:G220"/>
    <mergeCell ref="A221:G221"/>
    <mergeCell ref="A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A184:G184"/>
    <mergeCell ref="B185:G185"/>
    <mergeCell ref="B186:G186"/>
    <mergeCell ref="B187:G187"/>
    <mergeCell ref="A188:G188"/>
    <mergeCell ref="B189:G189"/>
    <mergeCell ref="B178:G178"/>
    <mergeCell ref="B179:G179"/>
    <mergeCell ref="A180:G180"/>
    <mergeCell ref="B181:G181"/>
    <mergeCell ref="B182:G182"/>
    <mergeCell ref="B183:G183"/>
    <mergeCell ref="A172:G172"/>
    <mergeCell ref="B173:G173"/>
    <mergeCell ref="B174:G174"/>
    <mergeCell ref="B175:G175"/>
    <mergeCell ref="A176:G176"/>
    <mergeCell ref="B177:G177"/>
    <mergeCell ref="B166:G166"/>
    <mergeCell ref="B167:G167"/>
    <mergeCell ref="A168:G168"/>
    <mergeCell ref="B169:G169"/>
    <mergeCell ref="B170:G170"/>
    <mergeCell ref="B171:G171"/>
    <mergeCell ref="A160:G160"/>
    <mergeCell ref="B161:G161"/>
    <mergeCell ref="B162:G162"/>
    <mergeCell ref="B163:G163"/>
    <mergeCell ref="A164:G164"/>
    <mergeCell ref="B165:G165"/>
    <mergeCell ref="B154:G154"/>
    <mergeCell ref="B155:G155"/>
    <mergeCell ref="A156:G156"/>
    <mergeCell ref="B157:G157"/>
    <mergeCell ref="B158:G158"/>
    <mergeCell ref="B159:G159"/>
    <mergeCell ref="A148:G148"/>
    <mergeCell ref="B149:G149"/>
    <mergeCell ref="B150:G150"/>
    <mergeCell ref="B151:G151"/>
    <mergeCell ref="A152:G152"/>
    <mergeCell ref="B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1:A32"/>
    <mergeCell ref="B31:B32"/>
    <mergeCell ref="C31:C32"/>
    <mergeCell ref="D31:D32"/>
    <mergeCell ref="E31:E32"/>
    <mergeCell ref="A33:A34"/>
    <mergeCell ref="B33:B34"/>
    <mergeCell ref="C33:C34"/>
    <mergeCell ref="D33:D34"/>
    <mergeCell ref="E33:E34"/>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4" manualBreakCount="4">
    <brk id="36" max="255" man="1"/>
    <brk id="72" max="255" man="1"/>
    <brk id="114" max="255" man="1"/>
    <brk id="217" max="255" man="1"/>
  </rowBreaks>
</worksheet>
</file>

<file path=xl/worksheets/sheet2.xml><?xml version="1.0" encoding="utf-8"?>
<worksheet xmlns="http://schemas.openxmlformats.org/spreadsheetml/2006/main" xmlns:r="http://schemas.openxmlformats.org/officeDocument/2006/relationships">
  <sheetPr>
    <tabColor rgb="FF00853F"/>
  </sheetPr>
  <dimension ref="A2:G32"/>
  <sheetViews>
    <sheetView showGridLines="0" tabSelected="1" zoomScalePageLayoutView="0" workbookViewId="0" topLeftCell="A19">
      <selection activeCell="A29" sqref="A29:A30"/>
    </sheetView>
  </sheetViews>
  <sheetFormatPr defaultColWidth="11.421875" defaultRowHeight="15"/>
  <cols>
    <col min="1" max="2" width="45.7109375" style="13" bestFit="1" customWidth="1"/>
    <col min="3" max="3" width="40.140625" style="13" customWidth="1"/>
    <col min="4" max="4" width="29.28125" style="13" customWidth="1"/>
    <col min="5" max="5" width="17.8515625" style="13" customWidth="1"/>
    <col min="6" max="16384" width="11.421875" style="13" customWidth="1"/>
  </cols>
  <sheetData>
    <row r="2" spans="1:5" ht="25.5" customHeight="1">
      <c r="A2" s="78" t="s">
        <v>0</v>
      </c>
      <c r="B2" s="79"/>
      <c r="C2" s="82" t="s">
        <v>81</v>
      </c>
      <c r="D2" s="82"/>
      <c r="E2" s="82"/>
    </row>
    <row r="3" spans="1:5" ht="25.5" customHeight="1" thickBot="1">
      <c r="A3" s="80"/>
      <c r="B3" s="81"/>
      <c r="C3" s="83"/>
      <c r="D3" s="83"/>
      <c r="E3" s="83"/>
    </row>
    <row r="4" ht="16.5" thickTop="1"/>
    <row r="8" spans="1:5" ht="30" customHeight="1">
      <c r="A8" s="88" t="s">
        <v>7</v>
      </c>
      <c r="B8" s="88"/>
      <c r="C8" s="88"/>
      <c r="D8" s="88"/>
      <c r="E8" s="88"/>
    </row>
    <row r="9" spans="1:5" ht="30" customHeight="1">
      <c r="A9" s="88"/>
      <c r="B9" s="88"/>
      <c r="C9" s="88"/>
      <c r="D9" s="88"/>
      <c r="E9" s="88"/>
    </row>
    <row r="10" spans="1:5" ht="15.75">
      <c r="A10" s="88" t="s">
        <v>8</v>
      </c>
      <c r="B10" s="88"/>
      <c r="C10" s="88"/>
      <c r="D10" s="88"/>
      <c r="E10" s="88"/>
    </row>
    <row r="11" spans="1:5" ht="15.75">
      <c r="A11" s="88"/>
      <c r="B11" s="88"/>
      <c r="C11" s="88"/>
      <c r="D11" s="88"/>
      <c r="E11" s="88"/>
    </row>
    <row r="12" spans="1:5" ht="15.75">
      <c r="A12" s="88"/>
      <c r="B12" s="88"/>
      <c r="C12" s="88"/>
      <c r="D12" s="88"/>
      <c r="E12" s="88"/>
    </row>
    <row r="13" spans="1:5" ht="29.25">
      <c r="A13" s="84"/>
      <c r="B13" s="84"/>
      <c r="C13" s="84"/>
      <c r="D13" s="84"/>
      <c r="E13" s="84"/>
    </row>
    <row r="14" spans="1:7" s="15" customFormat="1" ht="19.5">
      <c r="A14" s="13"/>
      <c r="B14" s="14" t="s">
        <v>1</v>
      </c>
      <c r="C14" s="14" t="s">
        <v>9</v>
      </c>
      <c r="D14" s="14" t="s">
        <v>10</v>
      </c>
      <c r="G14" s="16"/>
    </row>
    <row r="15" spans="1:7" s="15" customFormat="1" ht="19.5">
      <c r="A15" s="13"/>
      <c r="B15" s="14" t="s">
        <v>2</v>
      </c>
      <c r="C15" s="14" t="s">
        <v>2</v>
      </c>
      <c r="D15" s="14" t="s">
        <v>11</v>
      </c>
      <c r="G15" s="16"/>
    </row>
    <row r="16" spans="1:7" s="15" customFormat="1" ht="19.5">
      <c r="A16" s="13"/>
      <c r="B16" s="14"/>
      <c r="C16" s="14"/>
      <c r="D16" s="14"/>
      <c r="G16" s="16"/>
    </row>
    <row r="17" spans="1:7" s="15" customFormat="1" ht="21">
      <c r="A17" s="17" t="s">
        <v>3</v>
      </c>
      <c r="B17" s="18">
        <v>398.715279</v>
      </c>
      <c r="C17" s="18">
        <v>372.69733589</v>
      </c>
      <c r="D17" s="19">
        <f>(C17)/B17</f>
        <v>0.9347455578445489</v>
      </c>
      <c r="G17" s="16"/>
    </row>
    <row r="18" spans="1:7" s="15" customFormat="1" ht="21">
      <c r="A18" s="17" t="s">
        <v>4</v>
      </c>
      <c r="B18" s="18">
        <v>372.69733589000003</v>
      </c>
      <c r="C18" s="18">
        <v>372.69733589</v>
      </c>
      <c r="D18" s="19">
        <f>(C18)/B18</f>
        <v>0.9999999999999999</v>
      </c>
      <c r="G18" s="16"/>
    </row>
    <row r="19" spans="2:4" ht="15.75">
      <c r="B19" s="20"/>
      <c r="C19" s="20"/>
      <c r="D19" s="20"/>
    </row>
    <row r="21" spans="1:5" ht="63.75" customHeight="1">
      <c r="A21" s="89" t="s">
        <v>80</v>
      </c>
      <c r="B21" s="89"/>
      <c r="C21" s="89"/>
      <c r="D21" s="89"/>
      <c r="E21" s="89"/>
    </row>
    <row r="22" spans="1:6" ht="19.5">
      <c r="A22" s="87" t="s">
        <v>12</v>
      </c>
      <c r="B22" s="87"/>
      <c r="C22" s="87"/>
      <c r="D22" s="87"/>
      <c r="E22" s="87"/>
      <c r="F22" s="74"/>
    </row>
    <row r="23" spans="1:6" ht="19.5">
      <c r="A23" s="87" t="s">
        <v>1863</v>
      </c>
      <c r="B23" s="87"/>
      <c r="C23" s="87"/>
      <c r="D23" s="87"/>
      <c r="E23" s="87"/>
      <c r="F23" s="74"/>
    </row>
    <row r="24" spans="1:6" ht="19.5">
      <c r="A24" s="87" t="s">
        <v>1864</v>
      </c>
      <c r="B24" s="87"/>
      <c r="C24" s="87"/>
      <c r="D24" s="87"/>
      <c r="E24" s="87"/>
      <c r="F24" s="74"/>
    </row>
    <row r="25" spans="1:6" ht="19.5">
      <c r="A25" s="87" t="s">
        <v>1865</v>
      </c>
      <c r="B25" s="87"/>
      <c r="C25" s="87"/>
      <c r="D25" s="87"/>
      <c r="E25" s="87"/>
      <c r="F25" s="74"/>
    </row>
    <row r="26" spans="1:6" ht="19.5">
      <c r="A26" s="87" t="s">
        <v>21</v>
      </c>
      <c r="B26" s="87"/>
      <c r="C26" s="87"/>
      <c r="D26" s="87"/>
      <c r="E26" s="87"/>
      <c r="F26" s="74"/>
    </row>
    <row r="27" spans="1:6" ht="19.5">
      <c r="A27" s="87" t="s">
        <v>22</v>
      </c>
      <c r="B27" s="87"/>
      <c r="C27" s="87"/>
      <c r="D27" s="87"/>
      <c r="E27" s="87"/>
      <c r="F27" s="74"/>
    </row>
    <row r="28" spans="1:5" ht="19.5">
      <c r="A28" s="87" t="s">
        <v>13</v>
      </c>
      <c r="B28" s="87"/>
      <c r="C28" s="87"/>
      <c r="D28" s="87"/>
      <c r="E28" s="87"/>
    </row>
    <row r="29" spans="1:5" ht="19.5">
      <c r="A29" s="87" t="s">
        <v>14</v>
      </c>
      <c r="B29" s="87"/>
      <c r="C29" s="87"/>
      <c r="D29" s="87"/>
      <c r="E29" s="87"/>
    </row>
    <row r="30" spans="1:5" ht="19.5">
      <c r="A30" s="87" t="s">
        <v>15</v>
      </c>
      <c r="B30" s="87"/>
      <c r="C30" s="87"/>
      <c r="D30" s="87"/>
      <c r="E30" s="87"/>
    </row>
    <row r="31" spans="1:5" ht="19.5">
      <c r="A31" s="87" t="s">
        <v>16</v>
      </c>
      <c r="B31" s="87"/>
      <c r="C31" s="87"/>
      <c r="D31" s="87"/>
      <c r="E31" s="87"/>
    </row>
    <row r="32" spans="1:5" ht="19.5">
      <c r="A32" s="87" t="s">
        <v>17</v>
      </c>
      <c r="B32" s="87"/>
      <c r="C32" s="87"/>
      <c r="D32" s="87"/>
      <c r="E32" s="87"/>
    </row>
  </sheetData>
  <sheetProtection/>
  <mergeCells count="17">
    <mergeCell ref="A22:E22"/>
    <mergeCell ref="A23:E23"/>
    <mergeCell ref="A24:E24"/>
    <mergeCell ref="A25:E25"/>
    <mergeCell ref="A2:B3"/>
    <mergeCell ref="C2:E3"/>
    <mergeCell ref="A8:E9"/>
    <mergeCell ref="A10:E12"/>
    <mergeCell ref="A13:E13"/>
    <mergeCell ref="A21:E21"/>
    <mergeCell ref="A32:E32"/>
    <mergeCell ref="A26:E26"/>
    <mergeCell ref="A27:E27"/>
    <mergeCell ref="A28:E28"/>
    <mergeCell ref="A29:E29"/>
    <mergeCell ref="A30:E30"/>
    <mergeCell ref="A31:E31"/>
  </mergeCells>
  <hyperlinks>
    <hyperlink ref="A22:E22" location="DGE!A1" display="Dirección General de Evaluación "/>
    <hyperlink ref="A23:E23" location="DGEALSUPFM!A1" display=" Dirección General de Enlace con Autoridades Laborales, Sindicatos, Universidades, Personas Físicas y Morales"/>
    <hyperlink ref="A24:E24" location="DGEPPOED!A1" display="Dirección General de Enlace con Partidos Políticos, Organismos Electorales y Descentralizados"/>
    <hyperlink ref="A25:E25" location="DGEOPAEPEFFF!A1" display="Dirección General de Enlace con Organismos Públicos Autónomos, Empresas Paraestatales, Entidades Financieras, Fondos y Fideicomisos"/>
    <hyperlink ref="A26:E26" location="DGEPLJ!A1" display="Dirección General de Enlace con los Poderes Legislativo y Judicial"/>
    <hyperlink ref="A27:E27" location="DGEAPCTA!A1" display="Dirección General de Enlace con la Administración Pública Centralizada y Tribunales Administrativos"/>
    <hyperlink ref="A28:E28" location="DGNC!A1" display="Dirección General de Normatividad y Consulta"/>
    <hyperlink ref="A29:E29" location="DGIV!A1" display="Dirección General de Investigación y Verificación"/>
    <hyperlink ref="A30:E30" location="DGPDS!A1" display="Dirección General de Protección de Derechos y Sanción"/>
    <hyperlink ref="A31:E31" location="DGAP!A1" display="Dirección General de Atención al Pleno"/>
    <hyperlink ref="A32:E32" location="DGCR!A1" display="Dirección General de Cumplimientos y Responsabilidades"/>
  </hyperlinks>
  <printOptions horizontalCentered="1"/>
  <pageMargins left="0.7480314960629921" right="0.7480314960629921" top="0.984251968503937" bottom="0.984251968503937" header="0.5118110236220472" footer="0.5118110236220472"/>
  <pageSetup horizontalDpi="600" verticalDpi="600" orientation="landscape" scale="63" r:id="rId1"/>
</worksheet>
</file>

<file path=xl/worksheets/sheet20.xml><?xml version="1.0" encoding="utf-8"?>
<worksheet xmlns="http://schemas.openxmlformats.org/spreadsheetml/2006/main" xmlns:r="http://schemas.openxmlformats.org/officeDocument/2006/relationships">
  <dimension ref="A1:G215"/>
  <sheetViews>
    <sheetView showGridLines="0" tabSelected="1" view="pageBreakPreview" zoomScale="70" zoomScaleSheetLayoutView="70" zoomScalePageLayoutView="0" workbookViewId="0" topLeftCell="A202">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275</v>
      </c>
      <c r="E5" s="141"/>
      <c r="F5" s="141"/>
      <c r="G5" s="142"/>
    </row>
    <row r="6" spans="1:7" ht="15.75">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644</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426</v>
      </c>
      <c r="B13" s="166"/>
      <c r="C13" s="166"/>
      <c r="D13" s="166"/>
      <c r="E13" s="166"/>
      <c r="F13" s="166"/>
      <c r="G13" s="167"/>
    </row>
    <row r="14" spans="1:7" ht="16.5">
      <c r="A14" s="39"/>
      <c r="B14" s="163" t="s">
        <v>98</v>
      </c>
      <c r="C14" s="163"/>
      <c r="D14" s="163"/>
      <c r="E14" s="163"/>
      <c r="F14" s="163"/>
      <c r="G14" s="164"/>
    </row>
    <row r="15" spans="1:7" ht="15.75">
      <c r="A15" s="40"/>
      <c r="B15" s="182" t="s">
        <v>427</v>
      </c>
      <c r="C15" s="182"/>
      <c r="D15" s="182"/>
      <c r="E15" s="182"/>
      <c r="F15" s="182"/>
      <c r="G15" s="183"/>
    </row>
    <row r="16" spans="1:7" ht="15.75">
      <c r="A16" s="107" t="s">
        <v>100</v>
      </c>
      <c r="B16" s="108"/>
      <c r="C16" s="108"/>
      <c r="D16" s="108"/>
      <c r="E16" s="108"/>
      <c r="F16" s="108"/>
      <c r="G16" s="109"/>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ustomHeight="1">
      <c r="A19" s="110" t="s">
        <v>105</v>
      </c>
      <c r="B19" s="111"/>
      <c r="C19" s="112" t="s">
        <v>106</v>
      </c>
      <c r="D19" s="113"/>
      <c r="E19" s="113"/>
      <c r="F19" s="113"/>
      <c r="G19" s="114"/>
    </row>
    <row r="20" spans="1:7" ht="15.75" customHeight="1">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'E002'!B17</f>
        <v>185.189071</v>
      </c>
      <c r="F24" s="43">
        <f>'E002'!C17</f>
        <v>142.66509749000002</v>
      </c>
      <c r="G24" s="44">
        <f>F24/E24</f>
        <v>0.7703753613516426</v>
      </c>
    </row>
    <row r="25" spans="1:7" ht="15.75">
      <c r="A25" s="123" t="s">
        <v>114</v>
      </c>
      <c r="B25" s="124"/>
      <c r="C25" s="124"/>
      <c r="D25" s="125"/>
      <c r="E25" s="43">
        <f>'E002'!B18</f>
        <v>142.66509749</v>
      </c>
      <c r="F25" s="43">
        <f>'E002'!C18</f>
        <v>142.66509749000002</v>
      </c>
      <c r="G25" s="44">
        <f>F25/E25</f>
        <v>1.0000000000000002</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5</v>
      </c>
    </row>
    <row r="30" spans="1:7" ht="15.75">
      <c r="A30" s="105"/>
      <c r="B30" s="105"/>
      <c r="C30" s="105"/>
      <c r="D30" s="105"/>
      <c r="E30" s="105"/>
      <c r="F30" s="45" t="s">
        <v>124</v>
      </c>
      <c r="G30" s="46">
        <v>5</v>
      </c>
    </row>
    <row r="31" spans="1:7" ht="47.25" customHeight="1">
      <c r="A31" s="100" t="s">
        <v>645</v>
      </c>
      <c r="B31" s="100" t="s">
        <v>646</v>
      </c>
      <c r="C31" s="100" t="s">
        <v>647</v>
      </c>
      <c r="D31" s="102" t="s">
        <v>282</v>
      </c>
      <c r="E31" s="102" t="s">
        <v>129</v>
      </c>
      <c r="F31" s="45" t="s">
        <v>130</v>
      </c>
      <c r="G31" s="47">
        <f>+((((265536/247003)-1)*0.6)+(((65676/73276)-1)*0.2)+(((38413133/34490037)-1)*0.2))*100</f>
        <v>4.702455111268426</v>
      </c>
    </row>
    <row r="32" spans="1:7" ht="47.25" customHeight="1">
      <c r="A32" s="101"/>
      <c r="B32" s="101"/>
      <c r="C32" s="101"/>
      <c r="D32" s="103"/>
      <c r="E32" s="103"/>
      <c r="F32" s="45" t="s">
        <v>131</v>
      </c>
      <c r="G32" s="47">
        <v>94.04910222536851</v>
      </c>
    </row>
    <row r="33" spans="1:7" ht="15.75" customHeight="1">
      <c r="A33" s="104" t="s">
        <v>119</v>
      </c>
      <c r="B33" s="104" t="s">
        <v>120</v>
      </c>
      <c r="C33" s="104" t="s">
        <v>65</v>
      </c>
      <c r="D33" s="104" t="s">
        <v>121</v>
      </c>
      <c r="E33" s="104" t="s">
        <v>122</v>
      </c>
      <c r="F33" s="45" t="s">
        <v>123</v>
      </c>
      <c r="G33" s="46">
        <v>5</v>
      </c>
    </row>
    <row r="34" spans="1:7" ht="15.75">
      <c r="A34" s="105"/>
      <c r="B34" s="105"/>
      <c r="C34" s="105"/>
      <c r="D34" s="105"/>
      <c r="E34" s="105"/>
      <c r="F34" s="45" t="s">
        <v>124</v>
      </c>
      <c r="G34" s="46">
        <v>5</v>
      </c>
    </row>
    <row r="35" spans="1:7" ht="47.25" customHeight="1">
      <c r="A35" s="100" t="s">
        <v>648</v>
      </c>
      <c r="B35" s="100" t="s">
        <v>646</v>
      </c>
      <c r="C35" s="100" t="s">
        <v>649</v>
      </c>
      <c r="D35" s="102" t="s">
        <v>128</v>
      </c>
      <c r="E35" s="102" t="s">
        <v>129</v>
      </c>
      <c r="F35" s="45" t="s">
        <v>130</v>
      </c>
      <c r="G35" s="47">
        <v>0.8411</v>
      </c>
    </row>
    <row r="36" spans="1:7" ht="47.25" customHeight="1">
      <c r="A36" s="101"/>
      <c r="B36" s="101"/>
      <c r="C36" s="101"/>
      <c r="D36" s="103"/>
      <c r="E36" s="103"/>
      <c r="F36" s="45" t="s">
        <v>131</v>
      </c>
      <c r="G36" s="47">
        <v>16.822</v>
      </c>
    </row>
    <row r="37" spans="1:7" ht="15.75">
      <c r="A37" s="96" t="s">
        <v>288</v>
      </c>
      <c r="B37" s="96"/>
      <c r="C37" s="96"/>
      <c r="D37" s="96"/>
      <c r="E37" s="96"/>
      <c r="F37" s="96"/>
      <c r="G37" s="96"/>
    </row>
    <row r="38" spans="1:7" ht="15.75">
      <c r="A38" s="106" t="s">
        <v>117</v>
      </c>
      <c r="B38" s="106"/>
      <c r="C38" s="106"/>
      <c r="D38" s="106"/>
      <c r="E38" s="106"/>
      <c r="F38" s="106" t="s">
        <v>118</v>
      </c>
      <c r="G38" s="106"/>
    </row>
    <row r="39" spans="1:7" ht="15.75" customHeight="1">
      <c r="A39" s="104" t="s">
        <v>119</v>
      </c>
      <c r="B39" s="104" t="s">
        <v>120</v>
      </c>
      <c r="C39" s="104" t="s">
        <v>65</v>
      </c>
      <c r="D39" s="104" t="s">
        <v>121</v>
      </c>
      <c r="E39" s="104" t="s">
        <v>122</v>
      </c>
      <c r="F39" s="45" t="s">
        <v>123</v>
      </c>
      <c r="G39" s="46">
        <v>5</v>
      </c>
    </row>
    <row r="40" spans="1:7" ht="15.75">
      <c r="A40" s="105"/>
      <c r="B40" s="105"/>
      <c r="C40" s="105"/>
      <c r="D40" s="105"/>
      <c r="E40" s="105"/>
      <c r="F40" s="45" t="s">
        <v>124</v>
      </c>
      <c r="G40" s="46">
        <v>19</v>
      </c>
    </row>
    <row r="41" spans="1:7" ht="28.5" customHeight="1">
      <c r="A41" s="100" t="s">
        <v>650</v>
      </c>
      <c r="B41" s="100" t="s">
        <v>651</v>
      </c>
      <c r="C41" s="100" t="s">
        <v>652</v>
      </c>
      <c r="D41" s="102" t="s">
        <v>5</v>
      </c>
      <c r="E41" s="102" t="s">
        <v>129</v>
      </c>
      <c r="F41" s="45" t="s">
        <v>130</v>
      </c>
      <c r="G41" s="47">
        <v>7.5</v>
      </c>
    </row>
    <row r="42" spans="1:7" ht="28.5" customHeight="1">
      <c r="A42" s="101"/>
      <c r="B42" s="101"/>
      <c r="C42" s="101"/>
      <c r="D42" s="103"/>
      <c r="E42" s="103"/>
      <c r="F42" s="45" t="s">
        <v>131</v>
      </c>
      <c r="G42" s="47">
        <v>39.473684210526315</v>
      </c>
    </row>
    <row r="43" spans="1:7" ht="15.75">
      <c r="A43" s="96" t="s">
        <v>293</v>
      </c>
      <c r="B43" s="96"/>
      <c r="C43" s="96"/>
      <c r="D43" s="96"/>
      <c r="E43" s="96"/>
      <c r="F43" s="96"/>
      <c r="G43" s="96"/>
    </row>
    <row r="44" spans="1:7" ht="15.75">
      <c r="A44" s="106" t="s">
        <v>117</v>
      </c>
      <c r="B44" s="106"/>
      <c r="C44" s="106"/>
      <c r="D44" s="106"/>
      <c r="E44" s="106"/>
      <c r="F44" s="106" t="s">
        <v>118</v>
      </c>
      <c r="G44" s="106"/>
    </row>
    <row r="45" spans="1:7" ht="15.75" customHeight="1">
      <c r="A45" s="104" t="s">
        <v>119</v>
      </c>
      <c r="B45" s="104" t="s">
        <v>120</v>
      </c>
      <c r="C45" s="104" t="s">
        <v>65</v>
      </c>
      <c r="D45" s="104" t="s">
        <v>121</v>
      </c>
      <c r="E45" s="104" t="s">
        <v>122</v>
      </c>
      <c r="F45" s="45" t="s">
        <v>123</v>
      </c>
      <c r="G45" s="46">
        <v>9</v>
      </c>
    </row>
    <row r="46" spans="1:7" ht="15.75">
      <c r="A46" s="105"/>
      <c r="B46" s="105"/>
      <c r="C46" s="105"/>
      <c r="D46" s="105"/>
      <c r="E46" s="105"/>
      <c r="F46" s="45" t="s">
        <v>124</v>
      </c>
      <c r="G46" s="46">
        <v>9</v>
      </c>
    </row>
    <row r="47" spans="1:7" ht="31.5" customHeight="1">
      <c r="A47" s="100" t="s">
        <v>653</v>
      </c>
      <c r="B47" s="100" t="s">
        <v>654</v>
      </c>
      <c r="C47" s="100" t="s">
        <v>655</v>
      </c>
      <c r="D47" s="102" t="s">
        <v>149</v>
      </c>
      <c r="E47" s="102" t="s">
        <v>302</v>
      </c>
      <c r="F47" s="45" t="s">
        <v>130</v>
      </c>
      <c r="G47" s="47">
        <f>+(8.5+9.1+9+9.6+9.6+9.1+9.1+9.2+9.4+9.6+9.5+9.3)/12</f>
        <v>9.25</v>
      </c>
    </row>
    <row r="48" spans="1:7" ht="31.5" customHeight="1">
      <c r="A48" s="101"/>
      <c r="B48" s="101"/>
      <c r="C48" s="101"/>
      <c r="D48" s="103"/>
      <c r="E48" s="103"/>
      <c r="F48" s="45" t="s">
        <v>131</v>
      </c>
      <c r="G48" s="47">
        <v>102.77777777777777</v>
      </c>
    </row>
    <row r="49" spans="1:7" ht="15.75" customHeight="1">
      <c r="A49" s="104" t="s">
        <v>119</v>
      </c>
      <c r="B49" s="104" t="s">
        <v>120</v>
      </c>
      <c r="C49" s="104" t="s">
        <v>65</v>
      </c>
      <c r="D49" s="104" t="s">
        <v>121</v>
      </c>
      <c r="E49" s="104" t="s">
        <v>122</v>
      </c>
      <c r="F49" s="45" t="s">
        <v>123</v>
      </c>
      <c r="G49" s="46">
        <v>100</v>
      </c>
    </row>
    <row r="50" spans="1:7" ht="15.75">
      <c r="A50" s="105"/>
      <c r="B50" s="105"/>
      <c r="C50" s="105"/>
      <c r="D50" s="105"/>
      <c r="E50" s="105"/>
      <c r="F50" s="45" t="s">
        <v>124</v>
      </c>
      <c r="G50" s="46">
        <v>100</v>
      </c>
    </row>
    <row r="51" spans="1:7" ht="32.25" customHeight="1">
      <c r="A51" s="100" t="s">
        <v>656</v>
      </c>
      <c r="B51" s="100" t="s">
        <v>657</v>
      </c>
      <c r="C51" s="100" t="s">
        <v>658</v>
      </c>
      <c r="D51" s="102" t="s">
        <v>5</v>
      </c>
      <c r="E51" s="102" t="s">
        <v>298</v>
      </c>
      <c r="F51" s="45" t="s">
        <v>130</v>
      </c>
      <c r="G51" s="47">
        <f>+(6920/5202)*100</f>
        <v>133.02575932333718</v>
      </c>
    </row>
    <row r="52" spans="1:7" ht="32.25" customHeight="1">
      <c r="A52" s="101"/>
      <c r="B52" s="101"/>
      <c r="C52" s="101"/>
      <c r="D52" s="103"/>
      <c r="E52" s="103"/>
      <c r="F52" s="45" t="s">
        <v>131</v>
      </c>
      <c r="G52" s="47">
        <v>133.02575932333718</v>
      </c>
    </row>
    <row r="53" spans="1:7" ht="15.75" customHeight="1">
      <c r="A53" s="104" t="s">
        <v>119</v>
      </c>
      <c r="B53" s="104" t="s">
        <v>120</v>
      </c>
      <c r="C53" s="104" t="s">
        <v>65</v>
      </c>
      <c r="D53" s="104" t="s">
        <v>121</v>
      </c>
      <c r="E53" s="104" t="s">
        <v>122</v>
      </c>
      <c r="F53" s="45" t="s">
        <v>123</v>
      </c>
      <c r="G53" s="46">
        <v>10</v>
      </c>
    </row>
    <row r="54" spans="1:7" ht="15.75">
      <c r="A54" s="105"/>
      <c r="B54" s="105"/>
      <c r="C54" s="105"/>
      <c r="D54" s="105"/>
      <c r="E54" s="105"/>
      <c r="F54" s="45" t="s">
        <v>124</v>
      </c>
      <c r="G54" s="46">
        <v>10</v>
      </c>
    </row>
    <row r="55" spans="1:7" ht="15.75" customHeight="1">
      <c r="A55" s="100" t="s">
        <v>659</v>
      </c>
      <c r="B55" s="100" t="s">
        <v>660</v>
      </c>
      <c r="C55" s="100" t="s">
        <v>661</v>
      </c>
      <c r="D55" s="102" t="s">
        <v>282</v>
      </c>
      <c r="E55" s="102" t="s">
        <v>298</v>
      </c>
      <c r="F55" s="45" t="s">
        <v>130</v>
      </c>
      <c r="G55" s="47">
        <f>+((56319-52917)/52917)*100</f>
        <v>6.4289358807188615</v>
      </c>
    </row>
    <row r="56" spans="1:7" ht="27">
      <c r="A56" s="101"/>
      <c r="B56" s="101"/>
      <c r="C56" s="101"/>
      <c r="D56" s="103"/>
      <c r="E56" s="103"/>
      <c r="F56" s="45" t="s">
        <v>131</v>
      </c>
      <c r="G56" s="47">
        <v>64.28935880718862</v>
      </c>
    </row>
    <row r="57" spans="1:7" ht="15.75">
      <c r="A57" s="96" t="s">
        <v>303</v>
      </c>
      <c r="B57" s="96"/>
      <c r="C57" s="96"/>
      <c r="D57" s="96"/>
      <c r="E57" s="96"/>
      <c r="F57" s="96"/>
      <c r="G57" s="96"/>
    </row>
    <row r="58" spans="1:7" ht="15.75">
      <c r="A58" s="106" t="s">
        <v>117</v>
      </c>
      <c r="B58" s="106"/>
      <c r="C58" s="106"/>
      <c r="D58" s="106"/>
      <c r="E58" s="106"/>
      <c r="F58" s="106" t="s">
        <v>118</v>
      </c>
      <c r="G58" s="106"/>
    </row>
    <row r="59" spans="1:7" ht="15.75" customHeight="1">
      <c r="A59" s="104" t="s">
        <v>119</v>
      </c>
      <c r="B59" s="104" t="s">
        <v>120</v>
      </c>
      <c r="C59" s="104" t="s">
        <v>65</v>
      </c>
      <c r="D59" s="104" t="s">
        <v>121</v>
      </c>
      <c r="E59" s="104" t="s">
        <v>122</v>
      </c>
      <c r="F59" s="45" t="s">
        <v>123</v>
      </c>
      <c r="G59" s="46">
        <v>10</v>
      </c>
    </row>
    <row r="60" spans="1:7" ht="15.75">
      <c r="A60" s="105"/>
      <c r="B60" s="105"/>
      <c r="C60" s="105"/>
      <c r="D60" s="105"/>
      <c r="E60" s="105"/>
      <c r="F60" s="45" t="s">
        <v>124</v>
      </c>
      <c r="G60" s="46">
        <v>10</v>
      </c>
    </row>
    <row r="61" spans="1:7" ht="15.75" customHeight="1">
      <c r="A61" s="100" t="s">
        <v>662</v>
      </c>
      <c r="B61" s="100" t="s">
        <v>663</v>
      </c>
      <c r="C61" s="100" t="s">
        <v>664</v>
      </c>
      <c r="D61" s="102" t="s">
        <v>282</v>
      </c>
      <c r="E61" s="102" t="s">
        <v>298</v>
      </c>
      <c r="F61" s="45" t="s">
        <v>130</v>
      </c>
      <c r="G61" s="47">
        <f>+((4264-2121)/2121)*100</f>
        <v>101.03724658180104</v>
      </c>
    </row>
    <row r="62" spans="1:7" ht="27">
      <c r="A62" s="101"/>
      <c r="B62" s="101"/>
      <c r="C62" s="101"/>
      <c r="D62" s="103"/>
      <c r="E62" s="103"/>
      <c r="F62" s="45" t="s">
        <v>131</v>
      </c>
      <c r="G62" s="47">
        <v>1010.3724658180105</v>
      </c>
    </row>
    <row r="63" spans="1:7" ht="15.75" customHeight="1">
      <c r="A63" s="104" t="s">
        <v>119</v>
      </c>
      <c r="B63" s="104" t="s">
        <v>120</v>
      </c>
      <c r="C63" s="104" t="s">
        <v>65</v>
      </c>
      <c r="D63" s="104" t="s">
        <v>121</v>
      </c>
      <c r="E63" s="104" t="s">
        <v>122</v>
      </c>
      <c r="F63" s="45" t="s">
        <v>123</v>
      </c>
      <c r="G63" s="46">
        <v>10</v>
      </c>
    </row>
    <row r="64" spans="1:7" ht="15.75">
      <c r="A64" s="105"/>
      <c r="B64" s="105"/>
      <c r="C64" s="105"/>
      <c r="D64" s="105"/>
      <c r="E64" s="105"/>
      <c r="F64" s="45" t="s">
        <v>124</v>
      </c>
      <c r="G64" s="46">
        <v>10</v>
      </c>
    </row>
    <row r="65" spans="1:7" ht="15.75" customHeight="1">
      <c r="A65" s="100" t="s">
        <v>665</v>
      </c>
      <c r="B65" s="100" t="s">
        <v>666</v>
      </c>
      <c r="C65" s="100" t="s">
        <v>667</v>
      </c>
      <c r="D65" s="102" t="s">
        <v>282</v>
      </c>
      <c r="E65" s="102" t="s">
        <v>298</v>
      </c>
      <c r="F65" s="45" t="s">
        <v>130</v>
      </c>
      <c r="G65" s="47" t="s">
        <v>668</v>
      </c>
    </row>
    <row r="66" spans="1:7" ht="27">
      <c r="A66" s="101"/>
      <c r="B66" s="101"/>
      <c r="C66" s="101"/>
      <c r="D66" s="103"/>
      <c r="E66" s="103"/>
      <c r="F66" s="45" t="s">
        <v>131</v>
      </c>
      <c r="G66" s="47" t="s">
        <v>668</v>
      </c>
    </row>
    <row r="67" spans="1:7" ht="15.75" customHeight="1">
      <c r="A67" s="104" t="s">
        <v>119</v>
      </c>
      <c r="B67" s="104" t="s">
        <v>120</v>
      </c>
      <c r="C67" s="104" t="s">
        <v>65</v>
      </c>
      <c r="D67" s="104" t="s">
        <v>121</v>
      </c>
      <c r="E67" s="104" t="s">
        <v>122</v>
      </c>
      <c r="F67" s="45" t="s">
        <v>123</v>
      </c>
      <c r="G67" s="46">
        <v>100</v>
      </c>
    </row>
    <row r="68" spans="1:7" ht="15.75">
      <c r="A68" s="105"/>
      <c r="B68" s="105"/>
      <c r="C68" s="105"/>
      <c r="D68" s="105"/>
      <c r="E68" s="105"/>
      <c r="F68" s="45" t="s">
        <v>124</v>
      </c>
      <c r="G68" s="46">
        <v>100</v>
      </c>
    </row>
    <row r="69" spans="1:7" ht="15.75">
      <c r="A69" s="100" t="s">
        <v>669</v>
      </c>
      <c r="B69" s="100" t="s">
        <v>670</v>
      </c>
      <c r="C69" s="100" t="s">
        <v>671</v>
      </c>
      <c r="D69" s="102" t="s">
        <v>5</v>
      </c>
      <c r="E69" s="102" t="s">
        <v>167</v>
      </c>
      <c r="F69" s="45" t="s">
        <v>130</v>
      </c>
      <c r="G69" s="47">
        <f>+(16/15)*100</f>
        <v>106.66666666666667</v>
      </c>
    </row>
    <row r="70" spans="1:7" ht="27">
      <c r="A70" s="101"/>
      <c r="B70" s="101"/>
      <c r="C70" s="101"/>
      <c r="D70" s="103"/>
      <c r="E70" s="103"/>
      <c r="F70" s="45" t="s">
        <v>131</v>
      </c>
      <c r="G70" s="47">
        <v>106.66666666666669</v>
      </c>
    </row>
    <row r="71" spans="1:7" ht="15.75" customHeight="1">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15.75" customHeight="1">
      <c r="A73" s="100" t="s">
        <v>672</v>
      </c>
      <c r="B73" s="100" t="s">
        <v>673</v>
      </c>
      <c r="C73" s="100" t="s">
        <v>674</v>
      </c>
      <c r="D73" s="102" t="s">
        <v>5</v>
      </c>
      <c r="E73" s="102" t="s">
        <v>167</v>
      </c>
      <c r="F73" s="45" t="s">
        <v>130</v>
      </c>
      <c r="G73" s="47">
        <f>+(3/3)*100</f>
        <v>100</v>
      </c>
    </row>
    <row r="74" spans="1:7" ht="27">
      <c r="A74" s="101"/>
      <c r="B74" s="101"/>
      <c r="C74" s="101"/>
      <c r="D74" s="103"/>
      <c r="E74" s="103"/>
      <c r="F74" s="45" t="s">
        <v>131</v>
      </c>
      <c r="G74" s="47">
        <v>100</v>
      </c>
    </row>
    <row r="75" spans="1:7" ht="15.75" customHeight="1">
      <c r="A75" s="104" t="s">
        <v>119</v>
      </c>
      <c r="B75" s="104" t="s">
        <v>120</v>
      </c>
      <c r="C75" s="104" t="s">
        <v>65</v>
      </c>
      <c r="D75" s="104" t="s">
        <v>121</v>
      </c>
      <c r="E75" s="104" t="s">
        <v>122</v>
      </c>
      <c r="F75" s="45" t="s">
        <v>123</v>
      </c>
      <c r="G75" s="46">
        <v>100</v>
      </c>
    </row>
    <row r="76" spans="1:7" ht="15.75">
      <c r="A76" s="105"/>
      <c r="B76" s="105"/>
      <c r="C76" s="105"/>
      <c r="D76" s="105"/>
      <c r="E76" s="105"/>
      <c r="F76" s="45" t="s">
        <v>124</v>
      </c>
      <c r="G76" s="46">
        <v>100</v>
      </c>
    </row>
    <row r="77" spans="1:7" ht="15.75">
      <c r="A77" s="100" t="s">
        <v>675</v>
      </c>
      <c r="B77" s="100" t="s">
        <v>676</v>
      </c>
      <c r="C77" s="100" t="s">
        <v>677</v>
      </c>
      <c r="D77" s="102" t="s">
        <v>5</v>
      </c>
      <c r="E77" s="102" t="s">
        <v>298</v>
      </c>
      <c r="F77" s="45" t="s">
        <v>130</v>
      </c>
      <c r="G77" s="47">
        <f>(6/8)*100</f>
        <v>75</v>
      </c>
    </row>
    <row r="78" spans="1:7" ht="27">
      <c r="A78" s="101"/>
      <c r="B78" s="101"/>
      <c r="C78" s="101"/>
      <c r="D78" s="103"/>
      <c r="E78" s="103"/>
      <c r="F78" s="45" t="s">
        <v>131</v>
      </c>
      <c r="G78" s="47">
        <v>75</v>
      </c>
    </row>
    <row r="79" spans="1:7" ht="15.75" customHeight="1">
      <c r="A79" s="104" t="s">
        <v>119</v>
      </c>
      <c r="B79" s="104" t="s">
        <v>120</v>
      </c>
      <c r="C79" s="104" t="s">
        <v>65</v>
      </c>
      <c r="D79" s="104" t="s">
        <v>121</v>
      </c>
      <c r="E79" s="104" t="s">
        <v>122</v>
      </c>
      <c r="F79" s="45" t="s">
        <v>123</v>
      </c>
      <c r="G79" s="46">
        <v>100</v>
      </c>
    </row>
    <row r="80" spans="1:7" ht="15.75">
      <c r="A80" s="105"/>
      <c r="B80" s="105"/>
      <c r="C80" s="105"/>
      <c r="D80" s="105"/>
      <c r="E80" s="105"/>
      <c r="F80" s="45" t="s">
        <v>124</v>
      </c>
      <c r="G80" s="46">
        <v>100</v>
      </c>
    </row>
    <row r="81" spans="1:7" ht="15.75">
      <c r="A81" s="100" t="s">
        <v>678</v>
      </c>
      <c r="B81" s="100" t="s">
        <v>679</v>
      </c>
      <c r="C81" s="100" t="s">
        <v>680</v>
      </c>
      <c r="D81" s="102" t="s">
        <v>5</v>
      </c>
      <c r="E81" s="102" t="s">
        <v>167</v>
      </c>
      <c r="F81" s="45" t="s">
        <v>130</v>
      </c>
      <c r="G81" s="47">
        <f>+(9/8)*100</f>
        <v>112.5</v>
      </c>
    </row>
    <row r="82" spans="1:7" ht="27">
      <c r="A82" s="101"/>
      <c r="B82" s="101"/>
      <c r="C82" s="101"/>
      <c r="D82" s="103"/>
      <c r="E82" s="103"/>
      <c r="F82" s="45" t="s">
        <v>131</v>
      </c>
      <c r="G82" s="47">
        <v>112.5</v>
      </c>
    </row>
    <row r="83" spans="1:7" ht="15.75" customHeight="1">
      <c r="A83" s="104" t="s">
        <v>119</v>
      </c>
      <c r="B83" s="104" t="s">
        <v>120</v>
      </c>
      <c r="C83" s="104" t="s">
        <v>65</v>
      </c>
      <c r="D83" s="104" t="s">
        <v>121</v>
      </c>
      <c r="E83" s="104" t="s">
        <v>122</v>
      </c>
      <c r="F83" s="45" t="s">
        <v>123</v>
      </c>
      <c r="G83" s="46">
        <v>100</v>
      </c>
    </row>
    <row r="84" spans="1:7" ht="15.75">
      <c r="A84" s="105"/>
      <c r="B84" s="105"/>
      <c r="C84" s="105"/>
      <c r="D84" s="105"/>
      <c r="E84" s="105"/>
      <c r="F84" s="45" t="s">
        <v>124</v>
      </c>
      <c r="G84" s="46">
        <v>100</v>
      </c>
    </row>
    <row r="85" spans="1:7" ht="15.75" customHeight="1">
      <c r="A85" s="100" t="s">
        <v>681</v>
      </c>
      <c r="B85" s="100" t="s">
        <v>682</v>
      </c>
      <c r="C85" s="100" t="s">
        <v>683</v>
      </c>
      <c r="D85" s="102" t="s">
        <v>5</v>
      </c>
      <c r="E85" s="102" t="s">
        <v>167</v>
      </c>
      <c r="F85" s="45" t="s">
        <v>130</v>
      </c>
      <c r="G85" s="47">
        <f>+(790/768)*100</f>
        <v>102.86458333333333</v>
      </c>
    </row>
    <row r="86" spans="1:7" ht="27">
      <c r="A86" s="101"/>
      <c r="B86" s="101"/>
      <c r="C86" s="101"/>
      <c r="D86" s="103"/>
      <c r="E86" s="103"/>
      <c r="F86" s="45" t="s">
        <v>131</v>
      </c>
      <c r="G86" s="47">
        <v>102.86458333333333</v>
      </c>
    </row>
    <row r="87" spans="1:7" ht="15.75" customHeight="1">
      <c r="A87" s="104" t="s">
        <v>119</v>
      </c>
      <c r="B87" s="104" t="s">
        <v>120</v>
      </c>
      <c r="C87" s="104" t="s">
        <v>65</v>
      </c>
      <c r="D87" s="104" t="s">
        <v>121</v>
      </c>
      <c r="E87" s="104" t="s">
        <v>122</v>
      </c>
      <c r="F87" s="45" t="s">
        <v>123</v>
      </c>
      <c r="G87" s="46">
        <v>20</v>
      </c>
    </row>
    <row r="88" spans="1:7" ht="15.75">
      <c r="A88" s="105"/>
      <c r="B88" s="105"/>
      <c r="C88" s="105"/>
      <c r="D88" s="105"/>
      <c r="E88" s="105"/>
      <c r="F88" s="45" t="s">
        <v>124</v>
      </c>
      <c r="G88" s="46">
        <v>25</v>
      </c>
    </row>
    <row r="89" spans="1:7" ht="29.25" customHeight="1">
      <c r="A89" s="100" t="s">
        <v>684</v>
      </c>
      <c r="B89" s="100" t="s">
        <v>685</v>
      </c>
      <c r="C89" s="100" t="s">
        <v>686</v>
      </c>
      <c r="D89" s="102" t="s">
        <v>5</v>
      </c>
      <c r="E89" s="102" t="s">
        <v>298</v>
      </c>
      <c r="F89" s="45" t="s">
        <v>130</v>
      </c>
      <c r="G89" s="47">
        <f>+((93/61)-1)*100</f>
        <v>52.45901639344262</v>
      </c>
    </row>
    <row r="90" spans="1:7" ht="29.25" customHeight="1">
      <c r="A90" s="101"/>
      <c r="B90" s="101"/>
      <c r="C90" s="101"/>
      <c r="D90" s="103"/>
      <c r="E90" s="103"/>
      <c r="F90" s="45" t="s">
        <v>131</v>
      </c>
      <c r="G90" s="47">
        <v>209.83606557377047</v>
      </c>
    </row>
    <row r="91" spans="1:7" ht="15.75" customHeight="1">
      <c r="A91" s="104" t="s">
        <v>119</v>
      </c>
      <c r="B91" s="104" t="s">
        <v>120</v>
      </c>
      <c r="C91" s="104" t="s">
        <v>65</v>
      </c>
      <c r="D91" s="104" t="s">
        <v>121</v>
      </c>
      <c r="E91" s="104" t="s">
        <v>122</v>
      </c>
      <c r="F91" s="45" t="s">
        <v>123</v>
      </c>
      <c r="G91" s="46">
        <v>10</v>
      </c>
    </row>
    <row r="92" spans="1:7" ht="15.75">
      <c r="A92" s="105"/>
      <c r="B92" s="105"/>
      <c r="C92" s="105"/>
      <c r="D92" s="105"/>
      <c r="E92" s="105"/>
      <c r="F92" s="45" t="s">
        <v>124</v>
      </c>
      <c r="G92" s="46">
        <v>10</v>
      </c>
    </row>
    <row r="93" spans="1:7" ht="15.75" customHeight="1">
      <c r="A93" s="100" t="s">
        <v>687</v>
      </c>
      <c r="B93" s="100" t="s">
        <v>688</v>
      </c>
      <c r="C93" s="100" t="s">
        <v>689</v>
      </c>
      <c r="D93" s="102" t="s">
        <v>282</v>
      </c>
      <c r="E93" s="102" t="s">
        <v>298</v>
      </c>
      <c r="F93" s="45" t="s">
        <v>130</v>
      </c>
      <c r="G93" s="47">
        <f>+((99/77)-1)*100</f>
        <v>28.57142857142858</v>
      </c>
    </row>
    <row r="94" spans="1:7" ht="27">
      <c r="A94" s="101"/>
      <c r="B94" s="101"/>
      <c r="C94" s="101"/>
      <c r="D94" s="103"/>
      <c r="E94" s="103"/>
      <c r="F94" s="45" t="s">
        <v>131</v>
      </c>
      <c r="G94" s="47">
        <v>285.7142857142858</v>
      </c>
    </row>
    <row r="95" spans="1:7" ht="15.75" customHeight="1">
      <c r="A95" s="104" t="s">
        <v>119</v>
      </c>
      <c r="B95" s="104" t="s">
        <v>120</v>
      </c>
      <c r="C95" s="104" t="s">
        <v>65</v>
      </c>
      <c r="D95" s="104" t="s">
        <v>121</v>
      </c>
      <c r="E95" s="104" t="s">
        <v>122</v>
      </c>
      <c r="F95" s="45" t="s">
        <v>123</v>
      </c>
      <c r="G95" s="46">
        <v>100</v>
      </c>
    </row>
    <row r="96" spans="1:7" ht="15.75">
      <c r="A96" s="105"/>
      <c r="B96" s="105"/>
      <c r="C96" s="105"/>
      <c r="D96" s="105"/>
      <c r="E96" s="105"/>
      <c r="F96" s="45" t="s">
        <v>124</v>
      </c>
      <c r="G96" s="46">
        <v>100</v>
      </c>
    </row>
    <row r="97" spans="1:7" ht="15.75" customHeight="1">
      <c r="A97" s="100" t="s">
        <v>690</v>
      </c>
      <c r="B97" s="100" t="s">
        <v>691</v>
      </c>
      <c r="C97" s="100" t="s">
        <v>692</v>
      </c>
      <c r="D97" s="102" t="s">
        <v>5</v>
      </c>
      <c r="E97" s="102" t="s">
        <v>167</v>
      </c>
      <c r="F97" s="45" t="s">
        <v>130</v>
      </c>
      <c r="G97" s="47">
        <f>+(4/4)*100</f>
        <v>100</v>
      </c>
    </row>
    <row r="98" spans="1:7" ht="27">
      <c r="A98" s="101"/>
      <c r="B98" s="101"/>
      <c r="C98" s="101"/>
      <c r="D98" s="103"/>
      <c r="E98" s="103"/>
      <c r="F98" s="45" t="s">
        <v>131</v>
      </c>
      <c r="G98" s="47">
        <v>100</v>
      </c>
    </row>
    <row r="99" spans="1:7" ht="15.75" customHeight="1">
      <c r="A99" s="104" t="s">
        <v>119</v>
      </c>
      <c r="B99" s="104" t="s">
        <v>120</v>
      </c>
      <c r="C99" s="104" t="s">
        <v>65</v>
      </c>
      <c r="D99" s="104" t="s">
        <v>121</v>
      </c>
      <c r="E99" s="104" t="s">
        <v>122</v>
      </c>
      <c r="F99" s="45" t="s">
        <v>123</v>
      </c>
      <c r="G99" s="46">
        <v>100</v>
      </c>
    </row>
    <row r="100" spans="1:7" ht="15.75">
      <c r="A100" s="105"/>
      <c r="B100" s="105"/>
      <c r="C100" s="105"/>
      <c r="D100" s="105"/>
      <c r="E100" s="105"/>
      <c r="F100" s="45" t="s">
        <v>124</v>
      </c>
      <c r="G100" s="46">
        <v>100</v>
      </c>
    </row>
    <row r="101" spans="1:7" ht="15.75" customHeight="1">
      <c r="A101" s="100" t="s">
        <v>693</v>
      </c>
      <c r="B101" s="100" t="s">
        <v>694</v>
      </c>
      <c r="C101" s="100" t="s">
        <v>695</v>
      </c>
      <c r="D101" s="102" t="s">
        <v>5</v>
      </c>
      <c r="E101" s="102" t="s">
        <v>167</v>
      </c>
      <c r="F101" s="45" t="s">
        <v>130</v>
      </c>
      <c r="G101" s="47">
        <f>+(56/50)*100</f>
        <v>112.00000000000001</v>
      </c>
    </row>
    <row r="102" spans="1:7" ht="27">
      <c r="A102" s="101"/>
      <c r="B102" s="101"/>
      <c r="C102" s="101"/>
      <c r="D102" s="103"/>
      <c r="E102" s="103"/>
      <c r="F102" s="45" t="s">
        <v>131</v>
      </c>
      <c r="G102" s="47">
        <v>112.00000000000001</v>
      </c>
    </row>
    <row r="103" spans="1:7" ht="15.75" customHeight="1">
      <c r="A103" s="104" t="s">
        <v>119</v>
      </c>
      <c r="B103" s="104" t="s">
        <v>120</v>
      </c>
      <c r="C103" s="104" t="s">
        <v>65</v>
      </c>
      <c r="D103" s="104" t="s">
        <v>121</v>
      </c>
      <c r="E103" s="104" t="s">
        <v>122</v>
      </c>
      <c r="F103" s="45" t="s">
        <v>123</v>
      </c>
      <c r="G103" s="46">
        <v>100</v>
      </c>
    </row>
    <row r="104" spans="1:7" ht="15.75">
      <c r="A104" s="105"/>
      <c r="B104" s="105"/>
      <c r="C104" s="105"/>
      <c r="D104" s="105"/>
      <c r="E104" s="105"/>
      <c r="F104" s="45" t="s">
        <v>124</v>
      </c>
      <c r="G104" s="46">
        <v>100</v>
      </c>
    </row>
    <row r="105" spans="1:7" ht="31.5" customHeight="1">
      <c r="A105" s="100" t="s">
        <v>696</v>
      </c>
      <c r="B105" s="100" t="s">
        <v>697</v>
      </c>
      <c r="C105" s="100" t="s">
        <v>698</v>
      </c>
      <c r="D105" s="102" t="s">
        <v>5</v>
      </c>
      <c r="E105" s="102" t="s">
        <v>167</v>
      </c>
      <c r="F105" s="45" t="s">
        <v>130</v>
      </c>
      <c r="G105" s="47">
        <f>+(4/4)*100</f>
        <v>100</v>
      </c>
    </row>
    <row r="106" spans="1:7" ht="31.5" customHeight="1">
      <c r="A106" s="101"/>
      <c r="B106" s="101"/>
      <c r="C106" s="101"/>
      <c r="D106" s="103"/>
      <c r="E106" s="103"/>
      <c r="F106" s="45" t="s">
        <v>131</v>
      </c>
      <c r="G106" s="47">
        <v>100</v>
      </c>
    </row>
    <row r="107" spans="1:7" ht="15.75" customHeight="1">
      <c r="A107" s="104" t="s">
        <v>119</v>
      </c>
      <c r="B107" s="104" t="s">
        <v>120</v>
      </c>
      <c r="C107" s="104" t="s">
        <v>65</v>
      </c>
      <c r="D107" s="104" t="s">
        <v>121</v>
      </c>
      <c r="E107" s="104" t="s">
        <v>122</v>
      </c>
      <c r="F107" s="45" t="s">
        <v>123</v>
      </c>
      <c r="G107" s="46">
        <v>100</v>
      </c>
    </row>
    <row r="108" spans="1:7" ht="15.75">
      <c r="A108" s="105"/>
      <c r="B108" s="105"/>
      <c r="C108" s="105"/>
      <c r="D108" s="105"/>
      <c r="E108" s="105"/>
      <c r="F108" s="45" t="s">
        <v>124</v>
      </c>
      <c r="G108" s="46">
        <v>100</v>
      </c>
    </row>
    <row r="109" spans="1:7" ht="15.75" customHeight="1">
      <c r="A109" s="100" t="s">
        <v>699</v>
      </c>
      <c r="B109" s="100" t="s">
        <v>700</v>
      </c>
      <c r="C109" s="100" t="s">
        <v>701</v>
      </c>
      <c r="D109" s="102" t="s">
        <v>5</v>
      </c>
      <c r="E109" s="102" t="s">
        <v>298</v>
      </c>
      <c r="F109" s="45" t="s">
        <v>130</v>
      </c>
      <c r="G109" s="47">
        <f>+(1/1)*100</f>
        <v>100</v>
      </c>
    </row>
    <row r="110" spans="1:7" ht="27">
      <c r="A110" s="101"/>
      <c r="B110" s="101"/>
      <c r="C110" s="101"/>
      <c r="D110" s="103"/>
      <c r="E110" s="103"/>
      <c r="F110" s="45" t="s">
        <v>131</v>
      </c>
      <c r="G110" s="47">
        <v>100</v>
      </c>
    </row>
    <row r="111" spans="1:7" ht="15.75" customHeight="1">
      <c r="A111" s="104" t="s">
        <v>119</v>
      </c>
      <c r="B111" s="104" t="s">
        <v>120</v>
      </c>
      <c r="C111" s="104" t="s">
        <v>65</v>
      </c>
      <c r="D111" s="104" t="s">
        <v>121</v>
      </c>
      <c r="E111" s="104" t="s">
        <v>122</v>
      </c>
      <c r="F111" s="45" t="s">
        <v>123</v>
      </c>
      <c r="G111" s="46">
        <v>100</v>
      </c>
    </row>
    <row r="112" spans="1:7" ht="15.75">
      <c r="A112" s="105"/>
      <c r="B112" s="105"/>
      <c r="C112" s="105"/>
      <c r="D112" s="105"/>
      <c r="E112" s="105"/>
      <c r="F112" s="45" t="s">
        <v>124</v>
      </c>
      <c r="G112" s="46">
        <v>100</v>
      </c>
    </row>
    <row r="113" spans="1:7" ht="15.75">
      <c r="A113" s="100" t="s">
        <v>617</v>
      </c>
      <c r="B113" s="100" t="s">
        <v>702</v>
      </c>
      <c r="C113" s="100" t="s">
        <v>618</v>
      </c>
      <c r="D113" s="102" t="s">
        <v>5</v>
      </c>
      <c r="E113" s="102" t="s">
        <v>167</v>
      </c>
      <c r="F113" s="45" t="s">
        <v>130</v>
      </c>
      <c r="G113" s="47">
        <f>+(401717.31/661700)*100</f>
        <v>60.70988514432523</v>
      </c>
    </row>
    <row r="114" spans="1:7" ht="27">
      <c r="A114" s="101"/>
      <c r="B114" s="101"/>
      <c r="C114" s="101"/>
      <c r="D114" s="103"/>
      <c r="E114" s="103"/>
      <c r="F114" s="45" t="s">
        <v>131</v>
      </c>
      <c r="G114" s="47">
        <v>60.70988514432523</v>
      </c>
    </row>
    <row r="115" spans="1:7" ht="15.75" customHeight="1">
      <c r="A115" s="104" t="s">
        <v>119</v>
      </c>
      <c r="B115" s="104" t="s">
        <v>120</v>
      </c>
      <c r="C115" s="104" t="s">
        <v>65</v>
      </c>
      <c r="D115" s="104" t="s">
        <v>121</v>
      </c>
      <c r="E115" s="104" t="s">
        <v>122</v>
      </c>
      <c r="F115" s="45" t="s">
        <v>123</v>
      </c>
      <c r="G115" s="46">
        <v>100</v>
      </c>
    </row>
    <row r="116" spans="1:7" ht="15.75">
      <c r="A116" s="105"/>
      <c r="B116" s="105"/>
      <c r="C116" s="105"/>
      <c r="D116" s="105"/>
      <c r="E116" s="105"/>
      <c r="F116" s="45" t="s">
        <v>124</v>
      </c>
      <c r="G116" s="46">
        <v>100</v>
      </c>
    </row>
    <row r="117" spans="1:7" ht="32.25" customHeight="1">
      <c r="A117" s="100" t="s">
        <v>614</v>
      </c>
      <c r="B117" s="100" t="s">
        <v>702</v>
      </c>
      <c r="C117" s="100" t="s">
        <v>616</v>
      </c>
      <c r="D117" s="102" t="s">
        <v>5</v>
      </c>
      <c r="E117" s="102" t="s">
        <v>167</v>
      </c>
      <c r="F117" s="45" t="s">
        <v>130</v>
      </c>
      <c r="G117" s="47">
        <f>+(((25/25)*25/100)+((2672/2672)*25/100)+((25/25)*25/100)+((51/51)*25/100))*100</f>
        <v>100</v>
      </c>
    </row>
    <row r="118" spans="1:7" ht="32.25" customHeight="1">
      <c r="A118" s="101"/>
      <c r="B118" s="101"/>
      <c r="C118" s="101"/>
      <c r="D118" s="103"/>
      <c r="E118" s="103"/>
      <c r="F118" s="45" t="s">
        <v>131</v>
      </c>
      <c r="G118" s="47">
        <v>100</v>
      </c>
    </row>
    <row r="119" spans="1:7" ht="15.75">
      <c r="A119" s="96" t="s">
        <v>192</v>
      </c>
      <c r="B119" s="96"/>
      <c r="C119" s="96"/>
      <c r="D119" s="96"/>
      <c r="E119" s="96"/>
      <c r="F119" s="96"/>
      <c r="G119" s="96"/>
    </row>
    <row r="120" spans="1:7" ht="15.75">
      <c r="A120" s="99" t="s">
        <v>645</v>
      </c>
      <c r="B120" s="99"/>
      <c r="C120" s="99"/>
      <c r="D120" s="99"/>
      <c r="E120" s="99"/>
      <c r="F120" s="99"/>
      <c r="G120" s="99"/>
    </row>
    <row r="121" spans="1:7" ht="15.75">
      <c r="A121" s="48" t="s">
        <v>193</v>
      </c>
      <c r="B121" s="98" t="s">
        <v>703</v>
      </c>
      <c r="C121" s="98"/>
      <c r="D121" s="98"/>
      <c r="E121" s="98"/>
      <c r="F121" s="98"/>
      <c r="G121" s="98"/>
    </row>
    <row r="122" spans="1:7" ht="15.75">
      <c r="A122" s="49" t="s">
        <v>6</v>
      </c>
      <c r="B122" s="98" t="s">
        <v>704</v>
      </c>
      <c r="C122" s="98"/>
      <c r="D122" s="98"/>
      <c r="E122" s="98"/>
      <c r="F122" s="98"/>
      <c r="G122" s="98"/>
    </row>
    <row r="123" spans="1:7" ht="15.75">
      <c r="A123" s="49" t="s">
        <v>195</v>
      </c>
      <c r="B123" s="95" t="s">
        <v>259</v>
      </c>
      <c r="C123" s="95"/>
      <c r="D123" s="95"/>
      <c r="E123" s="95"/>
      <c r="F123" s="95"/>
      <c r="G123" s="95"/>
    </row>
    <row r="124" spans="1:7" ht="15.75">
      <c r="A124" s="90" t="s">
        <v>648</v>
      </c>
      <c r="B124" s="90"/>
      <c r="C124" s="90"/>
      <c r="D124" s="90"/>
      <c r="E124" s="90"/>
      <c r="F124" s="90"/>
      <c r="G124" s="90"/>
    </row>
    <row r="125" spans="1:7" ht="15.75">
      <c r="A125" s="49" t="s">
        <v>193</v>
      </c>
      <c r="B125" s="98" t="s">
        <v>705</v>
      </c>
      <c r="C125" s="98"/>
      <c r="D125" s="98"/>
      <c r="E125" s="98"/>
      <c r="F125" s="98"/>
      <c r="G125" s="98"/>
    </row>
    <row r="126" spans="1:7" ht="15.75">
      <c r="A126" s="49" t="s">
        <v>6</v>
      </c>
      <c r="B126" s="98" t="s">
        <v>706</v>
      </c>
      <c r="C126" s="98"/>
      <c r="D126" s="98"/>
      <c r="E126" s="98"/>
      <c r="F126" s="98"/>
      <c r="G126" s="98"/>
    </row>
    <row r="127" spans="1:7" ht="15.75">
      <c r="A127" s="49" t="s">
        <v>195</v>
      </c>
      <c r="B127" s="95"/>
      <c r="C127" s="95"/>
      <c r="D127" s="95"/>
      <c r="E127" s="95"/>
      <c r="F127" s="95"/>
      <c r="G127" s="95"/>
    </row>
    <row r="128" spans="1:7" ht="15.75">
      <c r="A128" s="90" t="s">
        <v>650</v>
      </c>
      <c r="B128" s="90"/>
      <c r="C128" s="90"/>
      <c r="D128" s="90"/>
      <c r="E128" s="90"/>
      <c r="F128" s="90"/>
      <c r="G128" s="90"/>
    </row>
    <row r="129" spans="1:7" ht="15.75">
      <c r="A129" s="49" t="s">
        <v>193</v>
      </c>
      <c r="B129" s="98" t="s">
        <v>707</v>
      </c>
      <c r="C129" s="98"/>
      <c r="D129" s="98"/>
      <c r="E129" s="98"/>
      <c r="F129" s="98"/>
      <c r="G129" s="98"/>
    </row>
    <row r="130" spans="1:7" ht="31.5" customHeight="1">
      <c r="A130" s="49" t="s">
        <v>6</v>
      </c>
      <c r="B130" s="94" t="s">
        <v>708</v>
      </c>
      <c r="C130" s="94"/>
      <c r="D130" s="94"/>
      <c r="E130" s="94"/>
      <c r="F130" s="94"/>
      <c r="G130" s="94"/>
    </row>
    <row r="131" spans="1:7" ht="15.75">
      <c r="A131" s="49" t="s">
        <v>195</v>
      </c>
      <c r="B131" s="95"/>
      <c r="C131" s="95"/>
      <c r="D131" s="95"/>
      <c r="E131" s="95"/>
      <c r="F131" s="95"/>
      <c r="G131" s="95"/>
    </row>
    <row r="132" spans="1:7" ht="15.75">
      <c r="A132" s="90" t="s">
        <v>653</v>
      </c>
      <c r="B132" s="90"/>
      <c r="C132" s="90"/>
      <c r="D132" s="90"/>
      <c r="E132" s="90"/>
      <c r="F132" s="90"/>
      <c r="G132" s="90"/>
    </row>
    <row r="133" spans="1:7" ht="31.5" customHeight="1">
      <c r="A133" s="49" t="s">
        <v>193</v>
      </c>
      <c r="B133" s="94" t="s">
        <v>709</v>
      </c>
      <c r="C133" s="94"/>
      <c r="D133" s="94"/>
      <c r="E133" s="94"/>
      <c r="F133" s="94"/>
      <c r="G133" s="94"/>
    </row>
    <row r="134" spans="1:7" ht="15.75">
      <c r="A134" s="49" t="s">
        <v>6</v>
      </c>
      <c r="B134" s="94" t="s">
        <v>710</v>
      </c>
      <c r="C134" s="94"/>
      <c r="D134" s="94"/>
      <c r="E134" s="94"/>
      <c r="F134" s="94"/>
      <c r="G134" s="94"/>
    </row>
    <row r="135" spans="1:7" ht="15.75">
      <c r="A135" s="49" t="s">
        <v>195</v>
      </c>
      <c r="B135" s="95" t="s">
        <v>259</v>
      </c>
      <c r="C135" s="95"/>
      <c r="D135" s="95"/>
      <c r="E135" s="95"/>
      <c r="F135" s="95"/>
      <c r="G135" s="95"/>
    </row>
    <row r="136" spans="1:7" ht="15.75">
      <c r="A136" s="90" t="s">
        <v>656</v>
      </c>
      <c r="B136" s="90"/>
      <c r="C136" s="90"/>
      <c r="D136" s="90"/>
      <c r="E136" s="90"/>
      <c r="F136" s="90"/>
      <c r="G136" s="90"/>
    </row>
    <row r="137" spans="1:7" ht="31.5" customHeight="1">
      <c r="A137" s="49" t="s">
        <v>193</v>
      </c>
      <c r="B137" s="94" t="s">
        <v>711</v>
      </c>
      <c r="C137" s="94"/>
      <c r="D137" s="94"/>
      <c r="E137" s="94"/>
      <c r="F137" s="94"/>
      <c r="G137" s="94"/>
    </row>
    <row r="138" spans="1:7" ht="31.5" customHeight="1">
      <c r="A138" s="49" t="s">
        <v>6</v>
      </c>
      <c r="B138" s="94" t="s">
        <v>712</v>
      </c>
      <c r="C138" s="94"/>
      <c r="D138" s="94"/>
      <c r="E138" s="94"/>
      <c r="F138" s="94"/>
      <c r="G138" s="94"/>
    </row>
    <row r="139" spans="1:7" ht="15.75">
      <c r="A139" s="49" t="s">
        <v>195</v>
      </c>
      <c r="B139" s="95" t="s">
        <v>259</v>
      </c>
      <c r="C139" s="95"/>
      <c r="D139" s="95"/>
      <c r="E139" s="95"/>
      <c r="F139" s="95"/>
      <c r="G139" s="95"/>
    </row>
    <row r="140" spans="1:7" ht="15.75">
      <c r="A140" s="90" t="s">
        <v>659</v>
      </c>
      <c r="B140" s="90"/>
      <c r="C140" s="90"/>
      <c r="D140" s="90"/>
      <c r="E140" s="90"/>
      <c r="F140" s="90"/>
      <c r="G140" s="90"/>
    </row>
    <row r="141" spans="1:7" ht="53.25" customHeight="1">
      <c r="A141" s="49" t="s">
        <v>193</v>
      </c>
      <c r="B141" s="94" t="s">
        <v>713</v>
      </c>
      <c r="C141" s="94"/>
      <c r="D141" s="94"/>
      <c r="E141" s="94"/>
      <c r="F141" s="94"/>
      <c r="G141" s="94"/>
    </row>
    <row r="142" spans="1:7" ht="15.75">
      <c r="A142" s="49" t="s">
        <v>6</v>
      </c>
      <c r="B142" s="94" t="s">
        <v>714</v>
      </c>
      <c r="C142" s="94"/>
      <c r="D142" s="94"/>
      <c r="E142" s="94"/>
      <c r="F142" s="94"/>
      <c r="G142" s="94"/>
    </row>
    <row r="143" spans="1:7" ht="15.75">
      <c r="A143" s="49" t="s">
        <v>195</v>
      </c>
      <c r="B143" s="95" t="s">
        <v>259</v>
      </c>
      <c r="C143" s="95"/>
      <c r="D143" s="95"/>
      <c r="E143" s="95"/>
      <c r="F143" s="95"/>
      <c r="G143" s="95"/>
    </row>
    <row r="144" spans="1:7" ht="15.75">
      <c r="A144" s="90" t="s">
        <v>662</v>
      </c>
      <c r="B144" s="90"/>
      <c r="C144" s="90"/>
      <c r="D144" s="90"/>
      <c r="E144" s="90"/>
      <c r="F144" s="90"/>
      <c r="G144" s="90"/>
    </row>
    <row r="145" spans="1:7" ht="15.75">
      <c r="A145" s="49" t="s">
        <v>193</v>
      </c>
      <c r="B145" s="94" t="s">
        <v>715</v>
      </c>
      <c r="C145" s="94"/>
      <c r="D145" s="94"/>
      <c r="E145" s="94"/>
      <c r="F145" s="94"/>
      <c r="G145" s="94"/>
    </row>
    <row r="146" spans="1:7" ht="15.75">
      <c r="A146" s="49" t="s">
        <v>6</v>
      </c>
      <c r="B146" s="94" t="s">
        <v>716</v>
      </c>
      <c r="C146" s="94"/>
      <c r="D146" s="94"/>
      <c r="E146" s="94"/>
      <c r="F146" s="94"/>
      <c r="G146" s="94"/>
    </row>
    <row r="147" spans="1:7" ht="15.75">
      <c r="A147" s="49" t="s">
        <v>195</v>
      </c>
      <c r="B147" s="95" t="s">
        <v>259</v>
      </c>
      <c r="C147" s="95"/>
      <c r="D147" s="95"/>
      <c r="E147" s="95"/>
      <c r="F147" s="95"/>
      <c r="G147" s="95"/>
    </row>
    <row r="148" spans="1:7" ht="15.75">
      <c r="A148" s="90" t="s">
        <v>665</v>
      </c>
      <c r="B148" s="90"/>
      <c r="C148" s="90"/>
      <c r="D148" s="90"/>
      <c r="E148" s="90"/>
      <c r="F148" s="90"/>
      <c r="G148" s="90"/>
    </row>
    <row r="149" spans="1:7" ht="63" customHeight="1">
      <c r="A149" s="49" t="s">
        <v>193</v>
      </c>
      <c r="B149" s="94" t="s">
        <v>717</v>
      </c>
      <c r="C149" s="94"/>
      <c r="D149" s="94"/>
      <c r="E149" s="94"/>
      <c r="F149" s="94"/>
      <c r="G149" s="94"/>
    </row>
    <row r="150" spans="1:7" ht="15.75">
      <c r="A150" s="49" t="s">
        <v>6</v>
      </c>
      <c r="B150" s="94" t="s">
        <v>718</v>
      </c>
      <c r="C150" s="94"/>
      <c r="D150" s="94"/>
      <c r="E150" s="94"/>
      <c r="F150" s="94"/>
      <c r="G150" s="94"/>
    </row>
    <row r="151" spans="1:7" ht="15.75">
      <c r="A151" s="49" t="s">
        <v>195</v>
      </c>
      <c r="B151" s="95" t="s">
        <v>259</v>
      </c>
      <c r="C151" s="95"/>
      <c r="D151" s="95"/>
      <c r="E151" s="95"/>
      <c r="F151" s="95"/>
      <c r="G151" s="95"/>
    </row>
    <row r="152" spans="1:7" ht="15.75">
      <c r="A152" s="90" t="s">
        <v>669</v>
      </c>
      <c r="B152" s="90"/>
      <c r="C152" s="90"/>
      <c r="D152" s="90"/>
      <c r="E152" s="90"/>
      <c r="F152" s="90"/>
      <c r="G152" s="90"/>
    </row>
    <row r="153" spans="1:7" ht="15.75">
      <c r="A153" s="49" t="s">
        <v>193</v>
      </c>
      <c r="B153" s="94" t="s">
        <v>719</v>
      </c>
      <c r="C153" s="94"/>
      <c r="D153" s="94"/>
      <c r="E153" s="94"/>
      <c r="F153" s="94"/>
      <c r="G153" s="94"/>
    </row>
    <row r="154" spans="1:7" ht="15.75">
      <c r="A154" s="49" t="s">
        <v>6</v>
      </c>
      <c r="B154" s="94" t="s">
        <v>720</v>
      </c>
      <c r="C154" s="94"/>
      <c r="D154" s="94"/>
      <c r="E154" s="94"/>
      <c r="F154" s="94"/>
      <c r="G154" s="94"/>
    </row>
    <row r="155" spans="1:7" ht="15.75">
      <c r="A155" s="49" t="s">
        <v>195</v>
      </c>
      <c r="B155" s="95" t="s">
        <v>259</v>
      </c>
      <c r="C155" s="95"/>
      <c r="D155" s="95"/>
      <c r="E155" s="95"/>
      <c r="F155" s="95"/>
      <c r="G155" s="95"/>
    </row>
    <row r="156" spans="1:7" ht="15.75">
      <c r="A156" s="90" t="s">
        <v>672</v>
      </c>
      <c r="B156" s="90"/>
      <c r="C156" s="90"/>
      <c r="D156" s="90"/>
      <c r="E156" s="90"/>
      <c r="F156" s="90"/>
      <c r="G156" s="90"/>
    </row>
    <row r="157" spans="1:7" ht="15.75">
      <c r="A157" s="49" t="s">
        <v>193</v>
      </c>
      <c r="B157" s="94" t="s">
        <v>721</v>
      </c>
      <c r="C157" s="94"/>
      <c r="D157" s="94"/>
      <c r="E157" s="94"/>
      <c r="F157" s="94"/>
      <c r="G157" s="94"/>
    </row>
    <row r="158" spans="1:7" ht="15.75">
      <c r="A158" s="49" t="s">
        <v>6</v>
      </c>
      <c r="B158" s="94" t="s">
        <v>722</v>
      </c>
      <c r="C158" s="94"/>
      <c r="D158" s="94"/>
      <c r="E158" s="94"/>
      <c r="F158" s="94"/>
      <c r="G158" s="94"/>
    </row>
    <row r="159" spans="1:7" ht="15.75">
      <c r="A159" s="49" t="s">
        <v>195</v>
      </c>
      <c r="B159" s="95" t="s">
        <v>259</v>
      </c>
      <c r="C159" s="95"/>
      <c r="D159" s="95"/>
      <c r="E159" s="95"/>
      <c r="F159" s="95"/>
      <c r="G159" s="95"/>
    </row>
    <row r="160" spans="1:7" ht="15.75">
      <c r="A160" s="90" t="s">
        <v>675</v>
      </c>
      <c r="B160" s="90"/>
      <c r="C160" s="90"/>
      <c r="D160" s="90"/>
      <c r="E160" s="90"/>
      <c r="F160" s="90"/>
      <c r="G160" s="90"/>
    </row>
    <row r="161" spans="1:7" ht="15.75">
      <c r="A161" s="49" t="s">
        <v>193</v>
      </c>
      <c r="B161" s="94" t="s">
        <v>723</v>
      </c>
      <c r="C161" s="94"/>
      <c r="D161" s="94"/>
      <c r="E161" s="94"/>
      <c r="F161" s="94"/>
      <c r="G161" s="94"/>
    </row>
    <row r="162" spans="1:7" ht="15.75">
      <c r="A162" s="49" t="s">
        <v>6</v>
      </c>
      <c r="B162" s="94" t="s">
        <v>724</v>
      </c>
      <c r="C162" s="94"/>
      <c r="D162" s="94"/>
      <c r="E162" s="94"/>
      <c r="F162" s="94"/>
      <c r="G162" s="94"/>
    </row>
    <row r="163" spans="1:7" ht="15.75">
      <c r="A163" s="49" t="s">
        <v>195</v>
      </c>
      <c r="B163" s="95" t="s">
        <v>259</v>
      </c>
      <c r="C163" s="95"/>
      <c r="D163" s="95"/>
      <c r="E163" s="95"/>
      <c r="F163" s="95"/>
      <c r="G163" s="95"/>
    </row>
    <row r="164" spans="1:7" ht="15.75">
      <c r="A164" s="90" t="s">
        <v>678</v>
      </c>
      <c r="B164" s="90"/>
      <c r="C164" s="90"/>
      <c r="D164" s="90"/>
      <c r="E164" s="90"/>
      <c r="F164" s="90"/>
      <c r="G164" s="90"/>
    </row>
    <row r="165" spans="1:7" ht="15.75">
      <c r="A165" s="49" t="s">
        <v>193</v>
      </c>
      <c r="B165" s="98" t="s">
        <v>725</v>
      </c>
      <c r="C165" s="98"/>
      <c r="D165" s="98"/>
      <c r="E165" s="98"/>
      <c r="F165" s="98"/>
      <c r="G165" s="98"/>
    </row>
    <row r="166" spans="1:7" ht="15.75">
      <c r="A166" s="49" t="s">
        <v>6</v>
      </c>
      <c r="B166" s="94" t="s">
        <v>726</v>
      </c>
      <c r="C166" s="94"/>
      <c r="D166" s="94"/>
      <c r="E166" s="94"/>
      <c r="F166" s="94"/>
      <c r="G166" s="94"/>
    </row>
    <row r="167" spans="1:7" ht="15.75">
      <c r="A167" s="49" t="s">
        <v>195</v>
      </c>
      <c r="B167" s="95" t="s">
        <v>259</v>
      </c>
      <c r="C167" s="95"/>
      <c r="D167" s="95"/>
      <c r="E167" s="95"/>
      <c r="F167" s="95"/>
      <c r="G167" s="95"/>
    </row>
    <row r="168" spans="1:7" ht="15.75">
      <c r="A168" s="90" t="s">
        <v>681</v>
      </c>
      <c r="B168" s="90"/>
      <c r="C168" s="90"/>
      <c r="D168" s="90"/>
      <c r="E168" s="90"/>
      <c r="F168" s="90"/>
      <c r="G168" s="90"/>
    </row>
    <row r="169" spans="1:7" ht="15.75">
      <c r="A169" s="49" t="s">
        <v>193</v>
      </c>
      <c r="B169" s="98" t="s">
        <v>727</v>
      </c>
      <c r="C169" s="98"/>
      <c r="D169" s="98"/>
      <c r="E169" s="98"/>
      <c r="F169" s="98"/>
      <c r="G169" s="98"/>
    </row>
    <row r="170" spans="1:7" ht="15.75">
      <c r="A170" s="49" t="s">
        <v>6</v>
      </c>
      <c r="B170" s="94" t="s">
        <v>728</v>
      </c>
      <c r="C170" s="94"/>
      <c r="D170" s="94"/>
      <c r="E170" s="94"/>
      <c r="F170" s="94"/>
      <c r="G170" s="94"/>
    </row>
    <row r="171" spans="1:7" ht="15.75">
      <c r="A171" s="49" t="s">
        <v>195</v>
      </c>
      <c r="B171" s="95" t="s">
        <v>259</v>
      </c>
      <c r="C171" s="95"/>
      <c r="D171" s="95"/>
      <c r="E171" s="95"/>
      <c r="F171" s="95"/>
      <c r="G171" s="95"/>
    </row>
    <row r="172" spans="1:7" ht="15.75">
      <c r="A172" s="90" t="s">
        <v>684</v>
      </c>
      <c r="B172" s="90"/>
      <c r="C172" s="90"/>
      <c r="D172" s="90"/>
      <c r="E172" s="90"/>
      <c r="F172" s="90"/>
      <c r="G172" s="90"/>
    </row>
    <row r="173" spans="1:7" ht="15.75">
      <c r="A173" s="49" t="s">
        <v>193</v>
      </c>
      <c r="B173" s="98" t="s">
        <v>729</v>
      </c>
      <c r="C173" s="98"/>
      <c r="D173" s="98"/>
      <c r="E173" s="98"/>
      <c r="F173" s="98"/>
      <c r="G173" s="98"/>
    </row>
    <row r="174" spans="1:7" ht="15.75">
      <c r="A174" s="49" t="s">
        <v>6</v>
      </c>
      <c r="B174" s="94" t="s">
        <v>730</v>
      </c>
      <c r="C174" s="94"/>
      <c r="D174" s="94"/>
      <c r="E174" s="94"/>
      <c r="F174" s="94"/>
      <c r="G174" s="94"/>
    </row>
    <row r="175" spans="1:7" ht="15.75">
      <c r="A175" s="49" t="s">
        <v>195</v>
      </c>
      <c r="B175" s="95" t="s">
        <v>259</v>
      </c>
      <c r="C175" s="95"/>
      <c r="D175" s="95"/>
      <c r="E175" s="95"/>
      <c r="F175" s="95"/>
      <c r="G175" s="95"/>
    </row>
    <row r="176" spans="1:7" ht="15.75">
      <c r="A176" s="90" t="s">
        <v>687</v>
      </c>
      <c r="B176" s="90"/>
      <c r="C176" s="90"/>
      <c r="D176" s="90"/>
      <c r="E176" s="90"/>
      <c r="F176" s="90"/>
      <c r="G176" s="90"/>
    </row>
    <row r="177" spans="1:7" ht="31.5" customHeight="1">
      <c r="A177" s="49" t="s">
        <v>193</v>
      </c>
      <c r="B177" s="94" t="s">
        <v>731</v>
      </c>
      <c r="C177" s="94"/>
      <c r="D177" s="94"/>
      <c r="E177" s="94"/>
      <c r="F177" s="94"/>
      <c r="G177" s="94"/>
    </row>
    <row r="178" spans="1:7" ht="31.5" customHeight="1">
      <c r="A178" s="49" t="s">
        <v>6</v>
      </c>
      <c r="B178" s="94" t="s">
        <v>732</v>
      </c>
      <c r="C178" s="94"/>
      <c r="D178" s="94"/>
      <c r="E178" s="94"/>
      <c r="F178" s="94"/>
      <c r="G178" s="94"/>
    </row>
    <row r="179" spans="1:7" ht="15.75">
      <c r="A179" s="49" t="s">
        <v>195</v>
      </c>
      <c r="B179" s="95" t="s">
        <v>259</v>
      </c>
      <c r="C179" s="95"/>
      <c r="D179" s="95"/>
      <c r="E179" s="95"/>
      <c r="F179" s="95"/>
      <c r="G179" s="95"/>
    </row>
    <row r="180" spans="1:7" ht="15.75">
      <c r="A180" s="90" t="s">
        <v>690</v>
      </c>
      <c r="B180" s="90"/>
      <c r="C180" s="90"/>
      <c r="D180" s="90"/>
      <c r="E180" s="90"/>
      <c r="F180" s="90"/>
      <c r="G180" s="90"/>
    </row>
    <row r="181" spans="1:7" ht="31.5" customHeight="1">
      <c r="A181" s="49" t="s">
        <v>193</v>
      </c>
      <c r="B181" s="98" t="s">
        <v>733</v>
      </c>
      <c r="C181" s="98"/>
      <c r="D181" s="98"/>
      <c r="E181" s="98"/>
      <c r="F181" s="98"/>
      <c r="G181" s="98"/>
    </row>
    <row r="182" spans="1:7" ht="44.25" customHeight="1">
      <c r="A182" s="49" t="s">
        <v>6</v>
      </c>
      <c r="B182" s="94" t="s">
        <v>734</v>
      </c>
      <c r="C182" s="94"/>
      <c r="D182" s="94"/>
      <c r="E182" s="94"/>
      <c r="F182" s="94"/>
      <c r="G182" s="94"/>
    </row>
    <row r="183" spans="1:7" ht="15.75">
      <c r="A183" s="49" t="s">
        <v>195</v>
      </c>
      <c r="B183" s="95" t="s">
        <v>259</v>
      </c>
      <c r="C183" s="95"/>
      <c r="D183" s="95"/>
      <c r="E183" s="95"/>
      <c r="F183" s="95"/>
      <c r="G183" s="95"/>
    </row>
    <row r="184" spans="1:7" ht="15.75">
      <c r="A184" s="90" t="s">
        <v>693</v>
      </c>
      <c r="B184" s="90"/>
      <c r="C184" s="90"/>
      <c r="D184" s="90"/>
      <c r="E184" s="90"/>
      <c r="F184" s="90"/>
      <c r="G184" s="90"/>
    </row>
    <row r="185" spans="1:7" ht="15.75">
      <c r="A185" s="49" t="s">
        <v>193</v>
      </c>
      <c r="B185" s="94" t="s">
        <v>735</v>
      </c>
      <c r="C185" s="94"/>
      <c r="D185" s="94"/>
      <c r="E185" s="94"/>
      <c r="F185" s="94"/>
      <c r="G185" s="94"/>
    </row>
    <row r="186" spans="1:7" ht="31.5" customHeight="1">
      <c r="A186" s="49" t="s">
        <v>6</v>
      </c>
      <c r="B186" s="94" t="s">
        <v>736</v>
      </c>
      <c r="C186" s="94"/>
      <c r="D186" s="94"/>
      <c r="E186" s="94"/>
      <c r="F186" s="94"/>
      <c r="G186" s="94"/>
    </row>
    <row r="187" spans="1:7" ht="15.75">
      <c r="A187" s="49" t="s">
        <v>195</v>
      </c>
      <c r="B187" s="95" t="s">
        <v>259</v>
      </c>
      <c r="C187" s="95"/>
      <c r="D187" s="95"/>
      <c r="E187" s="95"/>
      <c r="F187" s="95"/>
      <c r="G187" s="95"/>
    </row>
    <row r="188" spans="1:7" ht="15.75">
      <c r="A188" s="90" t="s">
        <v>696</v>
      </c>
      <c r="B188" s="90"/>
      <c r="C188" s="90"/>
      <c r="D188" s="90"/>
      <c r="E188" s="90"/>
      <c r="F188" s="90"/>
      <c r="G188" s="90"/>
    </row>
    <row r="189" spans="1:7" ht="15.75">
      <c r="A189" s="49" t="s">
        <v>193</v>
      </c>
      <c r="B189" s="98" t="s">
        <v>737</v>
      </c>
      <c r="C189" s="98"/>
      <c r="D189" s="98"/>
      <c r="E189" s="98"/>
      <c r="F189" s="98"/>
      <c r="G189" s="98"/>
    </row>
    <row r="190" spans="1:7" ht="15.75">
      <c r="A190" s="49" t="s">
        <v>6</v>
      </c>
      <c r="B190" s="94" t="s">
        <v>738</v>
      </c>
      <c r="C190" s="94"/>
      <c r="D190" s="94"/>
      <c r="E190" s="94"/>
      <c r="F190" s="94"/>
      <c r="G190" s="94"/>
    </row>
    <row r="191" spans="1:7" ht="15.75">
      <c r="A191" s="49" t="s">
        <v>195</v>
      </c>
      <c r="B191" s="95" t="s">
        <v>259</v>
      </c>
      <c r="C191" s="95"/>
      <c r="D191" s="95"/>
      <c r="E191" s="95"/>
      <c r="F191" s="95"/>
      <c r="G191" s="95"/>
    </row>
    <row r="192" spans="1:7" ht="15.75">
      <c r="A192" s="90" t="s">
        <v>699</v>
      </c>
      <c r="B192" s="90"/>
      <c r="C192" s="90"/>
      <c r="D192" s="90"/>
      <c r="E192" s="90"/>
      <c r="F192" s="90"/>
      <c r="G192" s="90"/>
    </row>
    <row r="193" spans="1:7" ht="15.75">
      <c r="A193" s="49" t="s">
        <v>193</v>
      </c>
      <c r="B193" s="98" t="s">
        <v>739</v>
      </c>
      <c r="C193" s="98"/>
      <c r="D193" s="98"/>
      <c r="E193" s="98"/>
      <c r="F193" s="98"/>
      <c r="G193" s="98"/>
    </row>
    <row r="194" spans="1:7" ht="31.5" customHeight="1">
      <c r="A194" s="49" t="s">
        <v>6</v>
      </c>
      <c r="B194" s="98" t="s">
        <v>740</v>
      </c>
      <c r="C194" s="98"/>
      <c r="D194" s="98"/>
      <c r="E194" s="98"/>
      <c r="F194" s="98"/>
      <c r="G194" s="98"/>
    </row>
    <row r="195" spans="1:7" ht="15.75">
      <c r="A195" s="49" t="s">
        <v>195</v>
      </c>
      <c r="B195" s="95" t="s">
        <v>259</v>
      </c>
      <c r="C195" s="95"/>
      <c r="D195" s="95"/>
      <c r="E195" s="95"/>
      <c r="F195" s="95"/>
      <c r="G195" s="95"/>
    </row>
    <row r="196" spans="1:7" ht="15.75">
      <c r="A196" s="90" t="s">
        <v>617</v>
      </c>
      <c r="B196" s="90"/>
      <c r="C196" s="90"/>
      <c r="D196" s="90"/>
      <c r="E196" s="90"/>
      <c r="F196" s="90"/>
      <c r="G196" s="90"/>
    </row>
    <row r="197" spans="1:7" ht="15.75">
      <c r="A197" s="49" t="s">
        <v>193</v>
      </c>
      <c r="B197" s="98" t="s">
        <v>741</v>
      </c>
      <c r="C197" s="98"/>
      <c r="D197" s="98"/>
      <c r="E197" s="98"/>
      <c r="F197" s="98"/>
      <c r="G197" s="98"/>
    </row>
    <row r="198" spans="1:7" ht="15.75">
      <c r="A198" s="49" t="s">
        <v>6</v>
      </c>
      <c r="B198" s="98" t="s">
        <v>742</v>
      </c>
      <c r="C198" s="98"/>
      <c r="D198" s="98"/>
      <c r="E198" s="98"/>
      <c r="F198" s="98"/>
      <c r="G198" s="98"/>
    </row>
    <row r="199" spans="1:7" ht="15.75">
      <c r="A199" s="49" t="s">
        <v>195</v>
      </c>
      <c r="B199" s="95" t="s">
        <v>259</v>
      </c>
      <c r="C199" s="95"/>
      <c r="D199" s="95"/>
      <c r="E199" s="95"/>
      <c r="F199" s="95"/>
      <c r="G199" s="95"/>
    </row>
    <row r="200" spans="1:7" ht="15.75">
      <c r="A200" s="90" t="s">
        <v>614</v>
      </c>
      <c r="B200" s="90"/>
      <c r="C200" s="90"/>
      <c r="D200" s="90"/>
      <c r="E200" s="90"/>
      <c r="F200" s="90"/>
      <c r="G200" s="90"/>
    </row>
    <row r="201" spans="1:7" ht="15.75">
      <c r="A201" s="49" t="s">
        <v>193</v>
      </c>
      <c r="B201" s="98" t="s">
        <v>743</v>
      </c>
      <c r="C201" s="98"/>
      <c r="D201" s="98"/>
      <c r="E201" s="98"/>
      <c r="F201" s="98"/>
      <c r="G201" s="98"/>
    </row>
    <row r="202" spans="1:7" ht="15.75">
      <c r="A202" s="49" t="s">
        <v>6</v>
      </c>
      <c r="B202" s="94" t="s">
        <v>744</v>
      </c>
      <c r="C202" s="94"/>
      <c r="D202" s="94"/>
      <c r="E202" s="94"/>
      <c r="F202" s="94"/>
      <c r="G202" s="94"/>
    </row>
    <row r="203" spans="1:7" ht="15.75">
      <c r="A203" s="49" t="s">
        <v>195</v>
      </c>
      <c r="B203" s="95" t="s">
        <v>259</v>
      </c>
      <c r="C203" s="95"/>
      <c r="D203" s="95"/>
      <c r="E203" s="95"/>
      <c r="F203" s="95"/>
      <c r="G203" s="95"/>
    </row>
    <row r="204" spans="1:7" ht="15.75">
      <c r="A204" s="146"/>
      <c r="B204" s="146"/>
      <c r="C204" s="146"/>
      <c r="D204" s="146"/>
      <c r="E204" s="146"/>
      <c r="F204" s="146"/>
      <c r="G204" s="146"/>
    </row>
    <row r="205" spans="1:7" ht="15.75">
      <c r="A205" s="96" t="s">
        <v>226</v>
      </c>
      <c r="B205" s="96"/>
      <c r="C205" s="96"/>
      <c r="D205" s="96"/>
      <c r="E205" s="96"/>
      <c r="F205" s="96"/>
      <c r="G205" s="96"/>
    </row>
    <row r="206" spans="1:7" ht="15.75">
      <c r="A206" s="90" t="s">
        <v>648</v>
      </c>
      <c r="B206" s="90"/>
      <c r="C206" s="90"/>
      <c r="D206" s="90"/>
      <c r="E206" s="90"/>
      <c r="F206" s="90"/>
      <c r="G206" s="90"/>
    </row>
    <row r="207" spans="1:7" ht="15.75">
      <c r="A207" s="49" t="s">
        <v>227</v>
      </c>
      <c r="B207" s="91" t="s">
        <v>745</v>
      </c>
      <c r="C207" s="91"/>
      <c r="D207" s="91"/>
      <c r="E207" s="91"/>
      <c r="F207" s="91"/>
      <c r="G207" s="91"/>
    </row>
    <row r="208" spans="1:7" ht="15.75">
      <c r="A208" s="90" t="s">
        <v>650</v>
      </c>
      <c r="B208" s="90"/>
      <c r="C208" s="90"/>
      <c r="D208" s="90"/>
      <c r="E208" s="90"/>
      <c r="F208" s="90"/>
      <c r="G208" s="90"/>
    </row>
    <row r="209" spans="1:7" ht="31.5" customHeight="1">
      <c r="A209" s="49" t="s">
        <v>227</v>
      </c>
      <c r="B209" s="178" t="s">
        <v>748</v>
      </c>
      <c r="C209" s="179"/>
      <c r="D209" s="179"/>
      <c r="E209" s="179"/>
      <c r="F209" s="179"/>
      <c r="G209" s="180"/>
    </row>
    <row r="210" spans="1:7" ht="15.75">
      <c r="A210" s="90" t="s">
        <v>684</v>
      </c>
      <c r="B210" s="90"/>
      <c r="C210" s="90"/>
      <c r="D210" s="90"/>
      <c r="E210" s="90"/>
      <c r="F210" s="90"/>
      <c r="G210" s="90"/>
    </row>
    <row r="211" spans="1:7" ht="15.75">
      <c r="A211" s="49" t="s">
        <v>227</v>
      </c>
      <c r="B211" s="91" t="s">
        <v>746</v>
      </c>
      <c r="C211" s="91"/>
      <c r="D211" s="91"/>
      <c r="E211" s="91"/>
      <c r="F211" s="91"/>
      <c r="G211" s="91"/>
    </row>
    <row r="212" spans="1:7" ht="15.75">
      <c r="A212" s="90" t="s">
        <v>690</v>
      </c>
      <c r="B212" s="90"/>
      <c r="C212" s="90"/>
      <c r="D212" s="90"/>
      <c r="E212" s="90"/>
      <c r="F212" s="90"/>
      <c r="G212" s="90"/>
    </row>
    <row r="213" spans="1:7" ht="31.5" customHeight="1">
      <c r="A213" s="49" t="s">
        <v>227</v>
      </c>
      <c r="B213" s="91" t="s">
        <v>747</v>
      </c>
      <c r="C213" s="91"/>
      <c r="D213" s="91"/>
      <c r="E213" s="91"/>
      <c r="F213" s="91"/>
      <c r="G213" s="91"/>
    </row>
    <row r="214" spans="1:7" ht="15.75">
      <c r="A214" s="146"/>
      <c r="B214" s="146"/>
      <c r="C214" s="146"/>
      <c r="D214" s="146"/>
      <c r="E214" s="146"/>
      <c r="F214" s="146"/>
      <c r="G214" s="146"/>
    </row>
    <row r="215" spans="1:7" ht="31.5" customHeight="1">
      <c r="A215" s="196" t="s">
        <v>229</v>
      </c>
      <c r="B215" s="197"/>
      <c r="C215" s="197"/>
      <c r="D215" s="197"/>
      <c r="E215" s="197"/>
      <c r="F215" s="197"/>
      <c r="G215" s="197"/>
    </row>
  </sheetData>
  <sheetProtection/>
  <mergeCells count="352">
    <mergeCell ref="A210:G210"/>
    <mergeCell ref="B211:G211"/>
    <mergeCell ref="A212:G212"/>
    <mergeCell ref="B213:G213"/>
    <mergeCell ref="A214:G214"/>
    <mergeCell ref="A215:G215"/>
    <mergeCell ref="A204:G204"/>
    <mergeCell ref="A205:G205"/>
    <mergeCell ref="A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A152:G152"/>
    <mergeCell ref="B153:G153"/>
    <mergeCell ref="B154:G154"/>
    <mergeCell ref="B155:G155"/>
    <mergeCell ref="A144:G144"/>
    <mergeCell ref="B145:G145"/>
    <mergeCell ref="B146:G146"/>
    <mergeCell ref="B147:G147"/>
    <mergeCell ref="A148:G148"/>
    <mergeCell ref="B149:G149"/>
    <mergeCell ref="B138:G138"/>
    <mergeCell ref="B139:G139"/>
    <mergeCell ref="A140:G140"/>
    <mergeCell ref="B141:G141"/>
    <mergeCell ref="B142:G142"/>
    <mergeCell ref="B143:G143"/>
    <mergeCell ref="A132:G132"/>
    <mergeCell ref="B133:G133"/>
    <mergeCell ref="B134:G134"/>
    <mergeCell ref="B135:G135"/>
    <mergeCell ref="A136:G136"/>
    <mergeCell ref="B137:G137"/>
    <mergeCell ref="B126:G126"/>
    <mergeCell ref="B127:G127"/>
    <mergeCell ref="A128:G128"/>
    <mergeCell ref="B129:G129"/>
    <mergeCell ref="B130:G130"/>
    <mergeCell ref="B131:G131"/>
    <mergeCell ref="A120:G120"/>
    <mergeCell ref="B121:G121"/>
    <mergeCell ref="B122:G122"/>
    <mergeCell ref="B123:G123"/>
    <mergeCell ref="A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8:E38"/>
    <mergeCell ref="F38:G38"/>
    <mergeCell ref="A39:A40"/>
    <mergeCell ref="B39:B40"/>
    <mergeCell ref="C39:C40"/>
    <mergeCell ref="D39:D40"/>
    <mergeCell ref="E39:E40"/>
    <mergeCell ref="A35:A36"/>
    <mergeCell ref="B35:B36"/>
    <mergeCell ref="C35:C36"/>
    <mergeCell ref="D35:D36"/>
    <mergeCell ref="E35:E36"/>
    <mergeCell ref="A37:G37"/>
    <mergeCell ref="A31:A32"/>
    <mergeCell ref="B31:B32"/>
    <mergeCell ref="C31:C32"/>
    <mergeCell ref="D31:D32"/>
    <mergeCell ref="E31:E32"/>
    <mergeCell ref="A33:A34"/>
    <mergeCell ref="B33:B34"/>
    <mergeCell ref="C33:C34"/>
    <mergeCell ref="D33:D34"/>
    <mergeCell ref="E33:E34"/>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4" manualBreakCount="4">
    <brk id="42" max="255" man="1"/>
    <brk id="90" max="255" man="1"/>
    <brk id="139" max="255" man="1"/>
    <brk id="187" max="255" man="1"/>
  </rowBreaks>
</worksheet>
</file>

<file path=xl/worksheets/sheet21.xml><?xml version="1.0" encoding="utf-8"?>
<worksheet xmlns="http://schemas.openxmlformats.org/spreadsheetml/2006/main" xmlns:r="http://schemas.openxmlformats.org/officeDocument/2006/relationships">
  <dimension ref="A1:G137"/>
  <sheetViews>
    <sheetView tabSelected="1" view="pageBreakPreview" zoomScale="60" zoomScalePageLayoutView="0" workbookViewId="0" topLeftCell="A118">
      <selection activeCell="A29" sqref="A29:A30"/>
    </sheetView>
  </sheetViews>
  <sheetFormatPr defaultColWidth="11.421875" defaultRowHeight="15"/>
  <cols>
    <col min="1" max="3" width="45.7109375" style="60" customWidth="1"/>
    <col min="4" max="4" width="17.140625" style="60" customWidth="1"/>
    <col min="5" max="5" width="26.140625" style="60" customWidth="1"/>
    <col min="6" max="6" width="41.8515625" style="60" customWidth="1"/>
    <col min="7" max="7" width="13.28125" style="60" customWidth="1"/>
    <col min="8" max="16384" width="11.421875" style="60" customWidth="1"/>
  </cols>
  <sheetData>
    <row r="1" spans="1:7" s="58" customFormat="1" ht="34.5">
      <c r="A1" s="184" t="s">
        <v>81</v>
      </c>
      <c r="B1" s="185"/>
      <c r="C1" s="185"/>
      <c r="D1" s="185"/>
      <c r="E1" s="185"/>
      <c r="F1" s="185"/>
      <c r="G1" s="185"/>
    </row>
    <row r="2" spans="1:7" s="58" customFormat="1" ht="37.5">
      <c r="A2" s="186" t="s">
        <v>82</v>
      </c>
      <c r="B2" s="186"/>
      <c r="C2" s="186"/>
      <c r="D2" s="186"/>
      <c r="E2" s="186"/>
      <c r="F2" s="186"/>
      <c r="G2" s="186"/>
    </row>
    <row r="3" s="59" customFormat="1" ht="11.25"/>
    <row r="4" spans="1:7" ht="15.75">
      <c r="A4" s="107" t="s">
        <v>83</v>
      </c>
      <c r="B4" s="108"/>
      <c r="C4" s="108"/>
      <c r="D4" s="108"/>
      <c r="E4" s="108"/>
      <c r="F4" s="108"/>
      <c r="G4" s="109"/>
    </row>
    <row r="5" spans="1:7" ht="31.5" customHeight="1">
      <c r="A5" s="137" t="s">
        <v>84</v>
      </c>
      <c r="B5" s="138"/>
      <c r="C5" s="139"/>
      <c r="D5" s="140" t="s">
        <v>275</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1057</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277</v>
      </c>
      <c r="B13" s="166"/>
      <c r="C13" s="166"/>
      <c r="D13" s="166"/>
      <c r="E13" s="166"/>
      <c r="F13" s="166"/>
      <c r="G13" s="167"/>
    </row>
    <row r="14" spans="1:7" ht="16.5">
      <c r="A14" s="39"/>
      <c r="B14" s="163" t="s">
        <v>98</v>
      </c>
      <c r="C14" s="163"/>
      <c r="D14" s="163"/>
      <c r="E14" s="163"/>
      <c r="F14" s="163"/>
      <c r="G14" s="164"/>
    </row>
    <row r="15" spans="1:7" ht="15.75">
      <c r="A15" s="62"/>
      <c r="B15" s="168" t="s">
        <v>1008</v>
      </c>
      <c r="C15" s="168"/>
      <c r="D15" s="168"/>
      <c r="E15" s="168"/>
      <c r="F15" s="168"/>
      <c r="G15" s="169"/>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'E002'!B17</f>
        <v>185.189071</v>
      </c>
      <c r="F24" s="43">
        <f>'E002'!C17</f>
        <v>142.66509749000002</v>
      </c>
      <c r="G24" s="44">
        <f>F24/E24</f>
        <v>0.7703753613516426</v>
      </c>
    </row>
    <row r="25" spans="1:7" ht="15.75">
      <c r="A25" s="123" t="s">
        <v>114</v>
      </c>
      <c r="B25" s="124"/>
      <c r="C25" s="124"/>
      <c r="D25" s="125"/>
      <c r="E25" s="43">
        <f>'E002'!B18</f>
        <v>142.66509749</v>
      </c>
      <c r="F25" s="43">
        <f>'E002'!C18</f>
        <v>142.66509749000002</v>
      </c>
      <c r="G25" s="44">
        <f>F25/E25</f>
        <v>1.0000000000000002</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 r="A29" s="104" t="s">
        <v>119</v>
      </c>
      <c r="B29" s="104" t="s">
        <v>120</v>
      </c>
      <c r="C29" s="104" t="s">
        <v>65</v>
      </c>
      <c r="D29" s="104" t="s">
        <v>121</v>
      </c>
      <c r="E29" s="104" t="s">
        <v>122</v>
      </c>
      <c r="F29" s="45" t="s">
        <v>123</v>
      </c>
      <c r="G29" s="46">
        <v>5</v>
      </c>
    </row>
    <row r="30" spans="1:7" ht="15.75">
      <c r="A30" s="105"/>
      <c r="B30" s="105"/>
      <c r="C30" s="105"/>
      <c r="D30" s="105"/>
      <c r="E30" s="105"/>
      <c r="F30" s="45" t="s">
        <v>124</v>
      </c>
      <c r="G30" s="46">
        <v>5</v>
      </c>
    </row>
    <row r="31" spans="1:7" ht="64.5" customHeight="1">
      <c r="A31" s="100" t="s">
        <v>1058</v>
      </c>
      <c r="B31" s="100" t="s">
        <v>1059</v>
      </c>
      <c r="C31" s="100" t="s">
        <v>1060</v>
      </c>
      <c r="D31" s="102" t="s">
        <v>5</v>
      </c>
      <c r="E31" s="102" t="s">
        <v>286</v>
      </c>
      <c r="F31" s="45" t="s">
        <v>130</v>
      </c>
      <c r="G31" s="47" t="s">
        <v>39</v>
      </c>
    </row>
    <row r="32" spans="1:7" ht="64.5" customHeight="1">
      <c r="A32" s="101"/>
      <c r="B32" s="101"/>
      <c r="C32" s="101"/>
      <c r="D32" s="103"/>
      <c r="E32" s="103"/>
      <c r="F32" s="45" t="s">
        <v>131</v>
      </c>
      <c r="G32" s="47" t="s">
        <v>39</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 r="A35" s="104" t="s">
        <v>119</v>
      </c>
      <c r="B35" s="104" t="s">
        <v>120</v>
      </c>
      <c r="C35" s="104" t="s">
        <v>65</v>
      </c>
      <c r="D35" s="104" t="s">
        <v>121</v>
      </c>
      <c r="E35" s="104" t="s">
        <v>122</v>
      </c>
      <c r="F35" s="45" t="s">
        <v>123</v>
      </c>
      <c r="G35" s="46">
        <v>92</v>
      </c>
    </row>
    <row r="36" spans="1:7" ht="15.75">
      <c r="A36" s="105"/>
      <c r="B36" s="105"/>
      <c r="C36" s="105"/>
      <c r="D36" s="105"/>
      <c r="E36" s="105"/>
      <c r="F36" s="45" t="s">
        <v>124</v>
      </c>
      <c r="G36" s="46">
        <v>92</v>
      </c>
    </row>
    <row r="37" spans="1:7" ht="33" customHeight="1">
      <c r="A37" s="100" t="s">
        <v>1061</v>
      </c>
      <c r="B37" s="100" t="s">
        <v>1062</v>
      </c>
      <c r="C37" s="100" t="s">
        <v>1063</v>
      </c>
      <c r="D37" s="102" t="s">
        <v>5</v>
      </c>
      <c r="E37" s="102" t="s">
        <v>129</v>
      </c>
      <c r="F37" s="45" t="s">
        <v>130</v>
      </c>
      <c r="G37" s="47">
        <f>((611+441+207)/1378)*100</f>
        <v>91.36429608127722</v>
      </c>
    </row>
    <row r="38" spans="1:7" ht="33" customHeight="1">
      <c r="A38" s="101"/>
      <c r="B38" s="101"/>
      <c r="C38" s="101"/>
      <c r="D38" s="103"/>
      <c r="E38" s="103"/>
      <c r="F38" s="45" t="s">
        <v>131</v>
      </c>
      <c r="G38" s="47">
        <v>99.30901747964916</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 r="A41" s="104" t="s">
        <v>119</v>
      </c>
      <c r="B41" s="104" t="s">
        <v>120</v>
      </c>
      <c r="C41" s="104" t="s">
        <v>65</v>
      </c>
      <c r="D41" s="104" t="s">
        <v>121</v>
      </c>
      <c r="E41" s="104" t="s">
        <v>122</v>
      </c>
      <c r="F41" s="45" t="s">
        <v>123</v>
      </c>
      <c r="G41" s="46">
        <v>100</v>
      </c>
    </row>
    <row r="42" spans="1:7" ht="15.75">
      <c r="A42" s="105"/>
      <c r="B42" s="105"/>
      <c r="C42" s="105"/>
      <c r="D42" s="105"/>
      <c r="E42" s="105"/>
      <c r="F42" s="45" t="s">
        <v>124</v>
      </c>
      <c r="G42" s="46">
        <v>100</v>
      </c>
    </row>
    <row r="43" spans="1:7" ht="15.75">
      <c r="A43" s="100" t="s">
        <v>1064</v>
      </c>
      <c r="B43" s="100" t="s">
        <v>1065</v>
      </c>
      <c r="C43" s="100" t="s">
        <v>1066</v>
      </c>
      <c r="D43" s="102" t="s">
        <v>5</v>
      </c>
      <c r="E43" s="102" t="s">
        <v>142</v>
      </c>
      <c r="F43" s="45" t="s">
        <v>130</v>
      </c>
      <c r="G43" s="47">
        <f>GEOMEAN(1,1,0.8)*100</f>
        <v>92.83177667225559</v>
      </c>
    </row>
    <row r="44" spans="1:7" ht="27">
      <c r="A44" s="101"/>
      <c r="B44" s="101"/>
      <c r="C44" s="101"/>
      <c r="D44" s="103"/>
      <c r="E44" s="103"/>
      <c r="F44" s="45" t="s">
        <v>131</v>
      </c>
      <c r="G44" s="47">
        <v>92.83177667225559</v>
      </c>
    </row>
    <row r="45" spans="1:7" ht="15.75">
      <c r="A45" s="104" t="s">
        <v>119</v>
      </c>
      <c r="B45" s="104" t="s">
        <v>120</v>
      </c>
      <c r="C45" s="104" t="s">
        <v>65</v>
      </c>
      <c r="D45" s="104" t="s">
        <v>121</v>
      </c>
      <c r="E45" s="104" t="s">
        <v>122</v>
      </c>
      <c r="F45" s="45" t="s">
        <v>123</v>
      </c>
      <c r="G45" s="46">
        <v>100</v>
      </c>
    </row>
    <row r="46" spans="1:7" ht="15.75">
      <c r="A46" s="105"/>
      <c r="B46" s="105"/>
      <c r="C46" s="105"/>
      <c r="D46" s="105"/>
      <c r="E46" s="105"/>
      <c r="F46" s="45" t="s">
        <v>124</v>
      </c>
      <c r="G46" s="46">
        <v>100</v>
      </c>
    </row>
    <row r="47" spans="1:7" ht="66.75" customHeight="1">
      <c r="A47" s="100" t="s">
        <v>1067</v>
      </c>
      <c r="B47" s="100" t="s">
        <v>1068</v>
      </c>
      <c r="C47" s="100" t="s">
        <v>1069</v>
      </c>
      <c r="D47" s="102" t="s">
        <v>297</v>
      </c>
      <c r="E47" s="102" t="s">
        <v>142</v>
      </c>
      <c r="F47" s="45" t="s">
        <v>130</v>
      </c>
      <c r="G47" s="47">
        <f>GEOMEAN(0.6625,1,0.85625,1)*100</f>
        <v>86.78538946447611</v>
      </c>
    </row>
    <row r="48" spans="1:7" ht="66.75" customHeight="1">
      <c r="A48" s="101"/>
      <c r="B48" s="101"/>
      <c r="C48" s="101"/>
      <c r="D48" s="103"/>
      <c r="E48" s="103"/>
      <c r="F48" s="45" t="s">
        <v>131</v>
      </c>
      <c r="G48" s="47">
        <v>86.78538946447611</v>
      </c>
    </row>
    <row r="49" spans="1:7" ht="15.75">
      <c r="A49" s="96" t="s">
        <v>303</v>
      </c>
      <c r="B49" s="96"/>
      <c r="C49" s="96"/>
      <c r="D49" s="96"/>
      <c r="E49" s="96"/>
      <c r="F49" s="96"/>
      <c r="G49" s="96"/>
    </row>
    <row r="50" spans="1:7" ht="15.75">
      <c r="A50" s="106" t="s">
        <v>117</v>
      </c>
      <c r="B50" s="106"/>
      <c r="C50" s="106"/>
      <c r="D50" s="106"/>
      <c r="E50" s="106"/>
      <c r="F50" s="106" t="s">
        <v>118</v>
      </c>
      <c r="G50" s="106"/>
    </row>
    <row r="51" spans="1:7" ht="15.75">
      <c r="A51" s="104" t="s">
        <v>119</v>
      </c>
      <c r="B51" s="104" t="s">
        <v>120</v>
      </c>
      <c r="C51" s="104" t="s">
        <v>65</v>
      </c>
      <c r="D51" s="104" t="s">
        <v>121</v>
      </c>
      <c r="E51" s="104" t="s">
        <v>122</v>
      </c>
      <c r="F51" s="45" t="s">
        <v>123</v>
      </c>
      <c r="G51" s="46">
        <v>100</v>
      </c>
    </row>
    <row r="52" spans="1:7" ht="15.75">
      <c r="A52" s="105"/>
      <c r="B52" s="105"/>
      <c r="C52" s="105"/>
      <c r="D52" s="105"/>
      <c r="E52" s="105"/>
      <c r="F52" s="45" t="s">
        <v>124</v>
      </c>
      <c r="G52" s="46">
        <v>100</v>
      </c>
    </row>
    <row r="53" spans="1:7" ht="15.75">
      <c r="A53" s="100" t="s">
        <v>1070</v>
      </c>
      <c r="B53" s="100" t="s">
        <v>1071</v>
      </c>
      <c r="C53" s="100" t="s">
        <v>1072</v>
      </c>
      <c r="D53" s="102" t="s">
        <v>5</v>
      </c>
      <c r="E53" s="102" t="s">
        <v>167</v>
      </c>
      <c r="F53" s="45" t="s">
        <v>130</v>
      </c>
      <c r="G53" s="47">
        <f>(2/2)*100</f>
        <v>100</v>
      </c>
    </row>
    <row r="54" spans="1:7" ht="27">
      <c r="A54" s="101"/>
      <c r="B54" s="101"/>
      <c r="C54" s="101"/>
      <c r="D54" s="103"/>
      <c r="E54" s="103"/>
      <c r="F54" s="45" t="s">
        <v>131</v>
      </c>
      <c r="G54" s="47">
        <v>100</v>
      </c>
    </row>
    <row r="55" spans="1:7" ht="15.75">
      <c r="A55" s="104" t="s">
        <v>119</v>
      </c>
      <c r="B55" s="104" t="s">
        <v>120</v>
      </c>
      <c r="C55" s="104" t="s">
        <v>65</v>
      </c>
      <c r="D55" s="104" t="s">
        <v>121</v>
      </c>
      <c r="E55" s="104" t="s">
        <v>122</v>
      </c>
      <c r="F55" s="45" t="s">
        <v>123</v>
      </c>
      <c r="G55" s="46">
        <v>100</v>
      </c>
    </row>
    <row r="56" spans="1:7" ht="15.75">
      <c r="A56" s="105"/>
      <c r="B56" s="105"/>
      <c r="C56" s="105"/>
      <c r="D56" s="105"/>
      <c r="E56" s="105"/>
      <c r="F56" s="45" t="s">
        <v>124</v>
      </c>
      <c r="G56" s="46">
        <v>100</v>
      </c>
    </row>
    <row r="57" spans="1:7" ht="15.75">
      <c r="A57" s="100" t="s">
        <v>1073</v>
      </c>
      <c r="B57" s="100" t="s">
        <v>1071</v>
      </c>
      <c r="C57" s="100" t="s">
        <v>1074</v>
      </c>
      <c r="D57" s="102" t="s">
        <v>5</v>
      </c>
      <c r="E57" s="102" t="s">
        <v>167</v>
      </c>
      <c r="F57" s="45" t="s">
        <v>130</v>
      </c>
      <c r="G57" s="47">
        <f>(18/18)*100</f>
        <v>100</v>
      </c>
    </row>
    <row r="58" spans="1:7" ht="27">
      <c r="A58" s="101"/>
      <c r="B58" s="101"/>
      <c r="C58" s="101"/>
      <c r="D58" s="103"/>
      <c r="E58" s="103"/>
      <c r="F58" s="45" t="s">
        <v>131</v>
      </c>
      <c r="G58" s="47">
        <v>100</v>
      </c>
    </row>
    <row r="59" spans="1:7" ht="15.75">
      <c r="A59" s="104" t="s">
        <v>119</v>
      </c>
      <c r="B59" s="104" t="s">
        <v>120</v>
      </c>
      <c r="C59" s="104" t="s">
        <v>65</v>
      </c>
      <c r="D59" s="104" t="s">
        <v>121</v>
      </c>
      <c r="E59" s="104" t="s">
        <v>122</v>
      </c>
      <c r="F59" s="45" t="s">
        <v>123</v>
      </c>
      <c r="G59" s="46">
        <v>100</v>
      </c>
    </row>
    <row r="60" spans="1:7" ht="15.75">
      <c r="A60" s="105"/>
      <c r="B60" s="105"/>
      <c r="C60" s="105"/>
      <c r="D60" s="105"/>
      <c r="E60" s="105"/>
      <c r="F60" s="45" t="s">
        <v>124</v>
      </c>
      <c r="G60" s="46">
        <v>100</v>
      </c>
    </row>
    <row r="61" spans="1:7" ht="15.75">
      <c r="A61" s="100" t="s">
        <v>1075</v>
      </c>
      <c r="B61" s="100" t="s">
        <v>1076</v>
      </c>
      <c r="C61" s="100" t="s">
        <v>1077</v>
      </c>
      <c r="D61" s="102" t="s">
        <v>5</v>
      </c>
      <c r="E61" s="102" t="s">
        <v>167</v>
      </c>
      <c r="F61" s="45" t="s">
        <v>130</v>
      </c>
      <c r="G61" s="47">
        <f>((1+0.7+0.45+1+0.85)/5)*100</f>
        <v>80</v>
      </c>
    </row>
    <row r="62" spans="1:7" ht="27">
      <c r="A62" s="101"/>
      <c r="B62" s="101"/>
      <c r="C62" s="101"/>
      <c r="D62" s="103"/>
      <c r="E62" s="103"/>
      <c r="F62" s="45" t="s">
        <v>131</v>
      </c>
      <c r="G62" s="47">
        <v>80</v>
      </c>
    </row>
    <row r="63" spans="1:7" ht="15.75">
      <c r="A63" s="104" t="s">
        <v>119</v>
      </c>
      <c r="B63" s="104" t="s">
        <v>120</v>
      </c>
      <c r="C63" s="104" t="s">
        <v>65</v>
      </c>
      <c r="D63" s="104" t="s">
        <v>121</v>
      </c>
      <c r="E63" s="104" t="s">
        <v>122</v>
      </c>
      <c r="F63" s="45" t="s">
        <v>123</v>
      </c>
      <c r="G63" s="46">
        <v>100</v>
      </c>
    </row>
    <row r="64" spans="1:7" ht="15.75">
      <c r="A64" s="105"/>
      <c r="B64" s="105"/>
      <c r="C64" s="105"/>
      <c r="D64" s="105"/>
      <c r="E64" s="105"/>
      <c r="F64" s="45" t="s">
        <v>124</v>
      </c>
      <c r="G64" s="46">
        <v>100</v>
      </c>
    </row>
    <row r="65" spans="1:7" ht="33" customHeight="1">
      <c r="A65" s="100" t="s">
        <v>1078</v>
      </c>
      <c r="B65" s="100" t="s">
        <v>1079</v>
      </c>
      <c r="C65" s="100" t="s">
        <v>1080</v>
      </c>
      <c r="D65" s="102" t="s">
        <v>5</v>
      </c>
      <c r="E65" s="102" t="s">
        <v>167</v>
      </c>
      <c r="F65" s="45" t="s">
        <v>130</v>
      </c>
      <c r="G65" s="47">
        <f>((0.4+0.05+0.2+0.9+0.9+0.95+0.95+0.95)/8)*100</f>
        <v>66.25000000000001</v>
      </c>
    </row>
    <row r="66" spans="1:7" ht="33" customHeight="1">
      <c r="A66" s="101"/>
      <c r="B66" s="101"/>
      <c r="C66" s="101"/>
      <c r="D66" s="103"/>
      <c r="E66" s="103"/>
      <c r="F66" s="45" t="s">
        <v>131</v>
      </c>
      <c r="G66" s="47">
        <v>66.25000000000001</v>
      </c>
    </row>
    <row r="67" spans="1:7" ht="15.75">
      <c r="A67" s="104" t="s">
        <v>119</v>
      </c>
      <c r="B67" s="104" t="s">
        <v>120</v>
      </c>
      <c r="C67" s="104" t="s">
        <v>65</v>
      </c>
      <c r="D67" s="104" t="s">
        <v>121</v>
      </c>
      <c r="E67" s="104" t="s">
        <v>122</v>
      </c>
      <c r="F67" s="45" t="s">
        <v>123</v>
      </c>
      <c r="G67" s="46">
        <v>100</v>
      </c>
    </row>
    <row r="68" spans="1:7" ht="15.75">
      <c r="A68" s="105"/>
      <c r="B68" s="105"/>
      <c r="C68" s="105"/>
      <c r="D68" s="105"/>
      <c r="E68" s="105"/>
      <c r="F68" s="45" t="s">
        <v>124</v>
      </c>
      <c r="G68" s="46">
        <v>100</v>
      </c>
    </row>
    <row r="69" spans="1:7" ht="39" customHeight="1">
      <c r="A69" s="100" t="s">
        <v>1081</v>
      </c>
      <c r="B69" s="100" t="s">
        <v>1082</v>
      </c>
      <c r="C69" s="100" t="s">
        <v>1083</v>
      </c>
      <c r="D69" s="102" t="s">
        <v>5</v>
      </c>
      <c r="E69" s="102" t="s">
        <v>167</v>
      </c>
      <c r="F69" s="45" t="s">
        <v>130</v>
      </c>
      <c r="G69" s="47">
        <f>(1/1)*100</f>
        <v>100</v>
      </c>
    </row>
    <row r="70" spans="1:7" ht="39" customHeight="1">
      <c r="A70" s="101"/>
      <c r="B70" s="101"/>
      <c r="C70" s="101"/>
      <c r="D70" s="103"/>
      <c r="E70" s="103"/>
      <c r="F70" s="45" t="s">
        <v>131</v>
      </c>
      <c r="G70" s="47">
        <v>100</v>
      </c>
    </row>
    <row r="71" spans="1:7" ht="15.75">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29.25" customHeight="1">
      <c r="A73" s="100" t="s">
        <v>1084</v>
      </c>
      <c r="B73" s="100" t="s">
        <v>1085</v>
      </c>
      <c r="C73" s="100" t="s">
        <v>1086</v>
      </c>
      <c r="D73" s="102" t="s">
        <v>5</v>
      </c>
      <c r="E73" s="102" t="s">
        <v>167</v>
      </c>
      <c r="F73" s="45" t="s">
        <v>130</v>
      </c>
      <c r="G73" s="47">
        <f>((0.9+1+0+1+1+1+0.95+1)/8)*100</f>
        <v>85.625</v>
      </c>
    </row>
    <row r="74" spans="1:7" ht="29.25" customHeight="1">
      <c r="A74" s="101"/>
      <c r="B74" s="101"/>
      <c r="C74" s="101"/>
      <c r="D74" s="103"/>
      <c r="E74" s="103"/>
      <c r="F74" s="45" t="s">
        <v>131</v>
      </c>
      <c r="G74" s="47">
        <v>85.625</v>
      </c>
    </row>
    <row r="75" spans="1:7" ht="15.75">
      <c r="A75" s="104" t="s">
        <v>119</v>
      </c>
      <c r="B75" s="104" t="s">
        <v>120</v>
      </c>
      <c r="C75" s="104" t="s">
        <v>65</v>
      </c>
      <c r="D75" s="104" t="s">
        <v>121</v>
      </c>
      <c r="E75" s="104" t="s">
        <v>122</v>
      </c>
      <c r="F75" s="45" t="s">
        <v>123</v>
      </c>
      <c r="G75" s="46">
        <v>100</v>
      </c>
    </row>
    <row r="76" spans="1:7" ht="15.75">
      <c r="A76" s="105"/>
      <c r="B76" s="105"/>
      <c r="C76" s="105"/>
      <c r="D76" s="105"/>
      <c r="E76" s="105"/>
      <c r="F76" s="45" t="s">
        <v>124</v>
      </c>
      <c r="G76" s="46">
        <v>100</v>
      </c>
    </row>
    <row r="77" spans="1:7" ht="15.75">
      <c r="A77" s="100" t="s">
        <v>1087</v>
      </c>
      <c r="B77" s="100" t="s">
        <v>1088</v>
      </c>
      <c r="C77" s="100" t="s">
        <v>1089</v>
      </c>
      <c r="D77" s="102" t="s">
        <v>5</v>
      </c>
      <c r="E77" s="102" t="s">
        <v>167</v>
      </c>
      <c r="F77" s="45" t="s">
        <v>130</v>
      </c>
      <c r="G77" s="47">
        <f>(145/145)*100</f>
        <v>100</v>
      </c>
    </row>
    <row r="78" spans="1:7" ht="27">
      <c r="A78" s="101"/>
      <c r="B78" s="101"/>
      <c r="C78" s="101"/>
      <c r="D78" s="103"/>
      <c r="E78" s="103"/>
      <c r="F78" s="45" t="s">
        <v>131</v>
      </c>
      <c r="G78" s="47">
        <v>100</v>
      </c>
    </row>
    <row r="79" spans="1:7" ht="15.75">
      <c r="A79" s="104" t="s">
        <v>119</v>
      </c>
      <c r="B79" s="104" t="s">
        <v>120</v>
      </c>
      <c r="C79" s="104" t="s">
        <v>65</v>
      </c>
      <c r="D79" s="104" t="s">
        <v>121</v>
      </c>
      <c r="E79" s="104" t="s">
        <v>122</v>
      </c>
      <c r="F79" s="45" t="s">
        <v>123</v>
      </c>
      <c r="G79" s="46">
        <v>100</v>
      </c>
    </row>
    <row r="80" spans="1:7" ht="15.75">
      <c r="A80" s="105"/>
      <c r="B80" s="105"/>
      <c r="C80" s="105"/>
      <c r="D80" s="105"/>
      <c r="E80" s="105"/>
      <c r="F80" s="45" t="s">
        <v>124</v>
      </c>
      <c r="G80" s="46">
        <v>100</v>
      </c>
    </row>
    <row r="81" spans="1:7" ht="15.75">
      <c r="A81" s="100" t="s">
        <v>1090</v>
      </c>
      <c r="B81" s="100" t="s">
        <v>1091</v>
      </c>
      <c r="C81" s="100" t="s">
        <v>1092</v>
      </c>
      <c r="D81" s="102" t="s">
        <v>5</v>
      </c>
      <c r="E81" s="102" t="s">
        <v>298</v>
      </c>
      <c r="F81" s="45" t="s">
        <v>130</v>
      </c>
      <c r="G81" s="47" t="s">
        <v>668</v>
      </c>
    </row>
    <row r="82" spans="1:7" ht="27">
      <c r="A82" s="101"/>
      <c r="B82" s="101"/>
      <c r="C82" s="101"/>
      <c r="D82" s="103"/>
      <c r="E82" s="103"/>
      <c r="F82" s="45" t="s">
        <v>131</v>
      </c>
      <c r="G82" s="47" t="s">
        <v>668</v>
      </c>
    </row>
    <row r="83" spans="1:7" ht="15.75">
      <c r="A83" s="96" t="s">
        <v>192</v>
      </c>
      <c r="B83" s="96"/>
      <c r="C83" s="96"/>
      <c r="D83" s="96"/>
      <c r="E83" s="96"/>
      <c r="F83" s="96"/>
      <c r="G83" s="96"/>
    </row>
    <row r="84" spans="1:7" ht="15.75">
      <c r="A84" s="150" t="str">
        <f>A31</f>
        <v>Porcentaje de sujetos obligados del ámbito federal de la Ley General de Protección de Datos Personales en Posesión de Sujetos Obligados que cuentan con una política interna o programada de protección de datos personales.</v>
      </c>
      <c r="B84" s="151"/>
      <c r="C84" s="151"/>
      <c r="D84" s="151"/>
      <c r="E84" s="151"/>
      <c r="F84" s="151"/>
      <c r="G84" s="152"/>
    </row>
    <row r="85" spans="1:7" ht="15.75">
      <c r="A85" s="48" t="s">
        <v>193</v>
      </c>
      <c r="B85" s="205" t="s">
        <v>323</v>
      </c>
      <c r="C85" s="205"/>
      <c r="D85" s="205"/>
      <c r="E85" s="205"/>
      <c r="F85" s="205"/>
      <c r="G85" s="205"/>
    </row>
    <row r="86" spans="1:7" ht="15.75">
      <c r="A86" s="49" t="s">
        <v>6</v>
      </c>
      <c r="B86" s="205" t="s">
        <v>323</v>
      </c>
      <c r="C86" s="205"/>
      <c r="D86" s="205"/>
      <c r="E86" s="205"/>
      <c r="F86" s="205"/>
      <c r="G86" s="205"/>
    </row>
    <row r="87" spans="1:7" ht="15.75">
      <c r="A87" s="49" t="s">
        <v>195</v>
      </c>
      <c r="B87" s="206"/>
      <c r="C87" s="206"/>
      <c r="D87" s="206"/>
      <c r="E87" s="206"/>
      <c r="F87" s="206"/>
      <c r="G87" s="206"/>
    </row>
    <row r="88" spans="1:7" ht="15.75">
      <c r="A88" s="150" t="str">
        <f>A37</f>
        <v>Porcentaje de utilidad de las herramientas que el INAI pone a disposición de los responsables para facilitar el cumplimiento de las obligaciones en materia de protección de datos personales.</v>
      </c>
      <c r="B88" s="151"/>
      <c r="C88" s="151"/>
      <c r="D88" s="151"/>
      <c r="E88" s="151"/>
      <c r="F88" s="151"/>
      <c r="G88" s="152"/>
    </row>
    <row r="89" spans="1:7" ht="31.5" customHeight="1">
      <c r="A89" s="49" t="s">
        <v>193</v>
      </c>
      <c r="B89" s="206" t="s">
        <v>1093</v>
      </c>
      <c r="C89" s="206"/>
      <c r="D89" s="206"/>
      <c r="E89" s="206"/>
      <c r="F89" s="206"/>
      <c r="G89" s="206"/>
    </row>
    <row r="90" spans="1:7" ht="31.5" customHeight="1">
      <c r="A90" s="49" t="s">
        <v>6</v>
      </c>
      <c r="B90" s="206" t="s">
        <v>1094</v>
      </c>
      <c r="C90" s="206"/>
      <c r="D90" s="206"/>
      <c r="E90" s="206"/>
      <c r="F90" s="206"/>
      <c r="G90" s="206"/>
    </row>
    <row r="91" spans="1:7" ht="15.75">
      <c r="A91" s="49" t="s">
        <v>195</v>
      </c>
      <c r="B91" s="206"/>
      <c r="C91" s="206"/>
      <c r="D91" s="206"/>
      <c r="E91" s="206"/>
      <c r="F91" s="206"/>
      <c r="G91" s="206"/>
    </row>
    <row r="92" spans="1:7" ht="15.75">
      <c r="A92" s="147" t="str">
        <f>A43</f>
        <v>Media geométrica de cumplimiento del programa de autorregulación.</v>
      </c>
      <c r="B92" s="148"/>
      <c r="C92" s="148"/>
      <c r="D92" s="148"/>
      <c r="E92" s="148"/>
      <c r="F92" s="148"/>
      <c r="G92" s="149"/>
    </row>
    <row r="93" spans="1:7" ht="15.75">
      <c r="A93" s="49" t="s">
        <v>193</v>
      </c>
      <c r="B93" s="206" t="s">
        <v>1095</v>
      </c>
      <c r="C93" s="206"/>
      <c r="D93" s="206"/>
      <c r="E93" s="206"/>
      <c r="F93" s="206"/>
      <c r="G93" s="206"/>
    </row>
    <row r="94" spans="1:7" ht="15.75">
      <c r="A94" s="49" t="s">
        <v>6</v>
      </c>
      <c r="B94" s="206" t="s">
        <v>1096</v>
      </c>
      <c r="C94" s="206"/>
      <c r="D94" s="206"/>
      <c r="E94" s="206"/>
      <c r="F94" s="206"/>
      <c r="G94" s="206"/>
    </row>
    <row r="95" spans="1:7" ht="15.75">
      <c r="A95" s="49" t="s">
        <v>195</v>
      </c>
      <c r="B95" s="206"/>
      <c r="C95" s="206"/>
      <c r="D95" s="206"/>
      <c r="E95" s="206"/>
      <c r="F95" s="206"/>
      <c r="G95" s="206"/>
    </row>
    <row r="96" spans="1:7" ht="15.75">
      <c r="A96" s="147" t="str">
        <f>A47</f>
        <v>Media geométrica del cumplimiento del programa de acompañamiento y prevención.</v>
      </c>
      <c r="B96" s="148"/>
      <c r="C96" s="148"/>
      <c r="D96" s="148"/>
      <c r="E96" s="148"/>
      <c r="F96" s="148"/>
      <c r="G96" s="149"/>
    </row>
    <row r="97" spans="1:7" ht="54" customHeight="1">
      <c r="A97" s="49" t="s">
        <v>193</v>
      </c>
      <c r="B97" s="206" t="s">
        <v>1097</v>
      </c>
      <c r="C97" s="206"/>
      <c r="D97" s="206"/>
      <c r="E97" s="206"/>
      <c r="F97" s="206"/>
      <c r="G97" s="206"/>
    </row>
    <row r="98" spans="1:7" ht="15.75">
      <c r="A98" s="49" t="s">
        <v>6</v>
      </c>
      <c r="B98" s="206" t="s">
        <v>1098</v>
      </c>
      <c r="C98" s="206"/>
      <c r="D98" s="206"/>
      <c r="E98" s="206"/>
      <c r="F98" s="206"/>
      <c r="G98" s="206"/>
    </row>
    <row r="99" spans="1:7" ht="15.75">
      <c r="A99" s="49" t="s">
        <v>195</v>
      </c>
      <c r="B99" s="206"/>
      <c r="C99" s="206"/>
      <c r="D99" s="206"/>
      <c r="E99" s="206"/>
      <c r="F99" s="206"/>
      <c r="G99" s="206"/>
    </row>
    <row r="100" spans="1:7" ht="15.75">
      <c r="A100" s="147" t="str">
        <f>A53</f>
        <v>Porcentaje de esquemas de autorregulación (EA) evaluados</v>
      </c>
      <c r="B100" s="148"/>
      <c r="C100" s="148"/>
      <c r="D100" s="148"/>
      <c r="E100" s="148"/>
      <c r="F100" s="148"/>
      <c r="G100" s="149"/>
    </row>
    <row r="101" spans="1:7" ht="15.75">
      <c r="A101" s="49" t="s">
        <v>193</v>
      </c>
      <c r="B101" s="206" t="s">
        <v>1099</v>
      </c>
      <c r="C101" s="206"/>
      <c r="D101" s="206"/>
      <c r="E101" s="206"/>
      <c r="F101" s="206"/>
      <c r="G101" s="206"/>
    </row>
    <row r="102" spans="1:7" ht="42.75" customHeight="1">
      <c r="A102" s="49" t="s">
        <v>6</v>
      </c>
      <c r="B102" s="206" t="s">
        <v>1100</v>
      </c>
      <c r="C102" s="206"/>
      <c r="D102" s="206"/>
      <c r="E102" s="206"/>
      <c r="F102" s="206"/>
      <c r="G102" s="206"/>
    </row>
    <row r="103" spans="1:7" ht="15.75">
      <c r="A103" s="49" t="s">
        <v>195</v>
      </c>
      <c r="B103" s="206"/>
      <c r="C103" s="206"/>
      <c r="D103" s="206"/>
      <c r="E103" s="206"/>
      <c r="F103" s="206"/>
      <c r="G103" s="206"/>
    </row>
    <row r="104" spans="1:7" ht="15.75">
      <c r="A104" s="147" t="str">
        <f>A57</f>
        <v>Porcentaje de esquemas de autorregulación (EA) reconocidos.</v>
      </c>
      <c r="B104" s="148"/>
      <c r="C104" s="148"/>
      <c r="D104" s="148"/>
      <c r="E104" s="148"/>
      <c r="F104" s="148"/>
      <c r="G104" s="149"/>
    </row>
    <row r="105" spans="1:7" ht="15.75">
      <c r="A105" s="49" t="s">
        <v>193</v>
      </c>
      <c r="B105" s="202" t="s">
        <v>1101</v>
      </c>
      <c r="C105" s="203"/>
      <c r="D105" s="203"/>
      <c r="E105" s="203"/>
      <c r="F105" s="203"/>
      <c r="G105" s="204"/>
    </row>
    <row r="106" spans="1:7" ht="41.25" customHeight="1">
      <c r="A106" s="49" t="s">
        <v>6</v>
      </c>
      <c r="B106" s="206" t="s">
        <v>1102</v>
      </c>
      <c r="C106" s="206"/>
      <c r="D106" s="206"/>
      <c r="E106" s="206"/>
      <c r="F106" s="206"/>
      <c r="G106" s="206"/>
    </row>
    <row r="107" spans="1:7" ht="15.75">
      <c r="A107" s="49" t="s">
        <v>195</v>
      </c>
      <c r="B107" s="206"/>
      <c r="C107" s="206"/>
      <c r="D107" s="206"/>
      <c r="E107" s="206"/>
      <c r="F107" s="206"/>
      <c r="G107" s="206"/>
    </row>
    <row r="108" spans="1:7" ht="15.75">
      <c r="A108" s="147" t="str">
        <f>A61</f>
        <v>Porcentaje de actividades realizadas por la DGPAR relacionadas con el impulso de autorregulación.</v>
      </c>
      <c r="B108" s="148"/>
      <c r="C108" s="148"/>
      <c r="D108" s="148"/>
      <c r="E108" s="148"/>
      <c r="F108" s="148"/>
      <c r="G108" s="149"/>
    </row>
    <row r="109" spans="1:7" ht="314.25" customHeight="1">
      <c r="A109" s="49" t="s">
        <v>193</v>
      </c>
      <c r="B109" s="202" t="s">
        <v>1103</v>
      </c>
      <c r="C109" s="203"/>
      <c r="D109" s="203"/>
      <c r="E109" s="203"/>
      <c r="F109" s="203"/>
      <c r="G109" s="204"/>
    </row>
    <row r="110" spans="1:7" ht="188.25" customHeight="1">
      <c r="A110" s="49" t="s">
        <v>6</v>
      </c>
      <c r="B110" s="206" t="s">
        <v>1104</v>
      </c>
      <c r="C110" s="206"/>
      <c r="D110" s="206"/>
      <c r="E110" s="206"/>
      <c r="F110" s="206"/>
      <c r="G110" s="206"/>
    </row>
    <row r="111" spans="1:7" ht="15.75">
      <c r="A111" s="49" t="s">
        <v>195</v>
      </c>
      <c r="B111" s="206"/>
      <c r="C111" s="206"/>
      <c r="D111" s="206"/>
      <c r="E111" s="206"/>
      <c r="F111" s="206"/>
      <c r="G111" s="206"/>
    </row>
    <row r="112" spans="1:7" ht="15.75">
      <c r="A112" s="147" t="str">
        <f>A65</f>
        <v>Porcentaje de actividades relacionadas con la elaboración de material para orientar  en el cumplimiento de obligaciones en materia de protección de datos personales.</v>
      </c>
      <c r="B112" s="148"/>
      <c r="C112" s="148"/>
      <c r="D112" s="148"/>
      <c r="E112" s="148"/>
      <c r="F112" s="148"/>
      <c r="G112" s="149"/>
    </row>
    <row r="113" spans="1:7" ht="400.5" customHeight="1">
      <c r="A113" s="49" t="s">
        <v>193</v>
      </c>
      <c r="B113" s="206" t="s">
        <v>1105</v>
      </c>
      <c r="C113" s="206"/>
      <c r="D113" s="206"/>
      <c r="E113" s="206"/>
      <c r="F113" s="206"/>
      <c r="G113" s="206"/>
    </row>
    <row r="114" spans="1:7" ht="201" customHeight="1">
      <c r="A114" s="49" t="s">
        <v>6</v>
      </c>
      <c r="B114" s="206" t="s">
        <v>1106</v>
      </c>
      <c r="C114" s="206"/>
      <c r="D114" s="206"/>
      <c r="E114" s="206"/>
      <c r="F114" s="206"/>
      <c r="G114" s="206"/>
    </row>
    <row r="115" spans="1:7" ht="15.75">
      <c r="A115" s="49" t="s">
        <v>195</v>
      </c>
      <c r="B115" s="206" t="s">
        <v>259</v>
      </c>
      <c r="C115" s="206"/>
      <c r="D115" s="206"/>
      <c r="E115" s="206"/>
      <c r="F115" s="206"/>
      <c r="G115" s="206"/>
    </row>
    <row r="116" spans="1:7" ht="15.75">
      <c r="A116" s="147" t="str">
        <f>A69</f>
        <v>Porcentaje de solicitudes de autorización de medidas compensatorias así como para el uso de hiperenlaces o hipervínculos en una página de Internet del INAI para dar a conocer avisos de privacidad a través de medidas compensatorias atendidas.</v>
      </c>
      <c r="B116" s="148"/>
      <c r="C116" s="148"/>
      <c r="D116" s="148"/>
      <c r="E116" s="148"/>
      <c r="F116" s="148"/>
      <c r="G116" s="149"/>
    </row>
    <row r="117" spans="1:7" ht="15.75">
      <c r="A117" s="49" t="s">
        <v>193</v>
      </c>
      <c r="B117" s="202" t="s">
        <v>1107</v>
      </c>
      <c r="C117" s="203"/>
      <c r="D117" s="203"/>
      <c r="E117" s="203"/>
      <c r="F117" s="203"/>
      <c r="G117" s="204"/>
    </row>
    <row r="118" spans="1:7" ht="31.5" customHeight="1">
      <c r="A118" s="49" t="s">
        <v>6</v>
      </c>
      <c r="B118" s="206" t="s">
        <v>1108</v>
      </c>
      <c r="C118" s="206"/>
      <c r="D118" s="206"/>
      <c r="E118" s="206"/>
      <c r="F118" s="206"/>
      <c r="G118" s="206"/>
    </row>
    <row r="119" spans="1:7" ht="15.75">
      <c r="A119" s="49" t="s">
        <v>195</v>
      </c>
      <c r="B119" s="95"/>
      <c r="C119" s="95"/>
      <c r="D119" s="95"/>
      <c r="E119" s="95"/>
      <c r="F119" s="95"/>
      <c r="G119" s="95"/>
    </row>
    <row r="120" spans="1:7" ht="15.75">
      <c r="A120" s="147" t="str">
        <f>A73</f>
        <v>Porcentaje de actividades realizadas por la DGPAR para promover la educación cívica y cultura para el ejercicio del derecho de protección de datos personales entre los titulares.</v>
      </c>
      <c r="B120" s="148"/>
      <c r="C120" s="148"/>
      <c r="D120" s="148"/>
      <c r="E120" s="148"/>
      <c r="F120" s="148"/>
      <c r="G120" s="149"/>
    </row>
    <row r="121" spans="1:7" ht="368.25" customHeight="1">
      <c r="A121" s="49" t="s">
        <v>193</v>
      </c>
      <c r="B121" s="202" t="s">
        <v>1109</v>
      </c>
      <c r="C121" s="203"/>
      <c r="D121" s="203"/>
      <c r="E121" s="203"/>
      <c r="F121" s="203"/>
      <c r="G121" s="204"/>
    </row>
    <row r="122" spans="1:7" ht="321.75" customHeight="1">
      <c r="A122" s="49" t="s">
        <v>6</v>
      </c>
      <c r="B122" s="206" t="s">
        <v>1110</v>
      </c>
      <c r="C122" s="206"/>
      <c r="D122" s="206"/>
      <c r="E122" s="206"/>
      <c r="F122" s="206"/>
      <c r="G122" s="206"/>
    </row>
    <row r="123" spans="1:7" ht="15.75">
      <c r="A123" s="49" t="s">
        <v>195</v>
      </c>
      <c r="B123" s="206"/>
      <c r="C123" s="206"/>
      <c r="D123" s="206"/>
      <c r="E123" s="206"/>
      <c r="F123" s="206"/>
      <c r="G123" s="206"/>
    </row>
    <row r="124" spans="1:7" ht="15.75">
      <c r="A124" s="147" t="str">
        <f>A77</f>
        <v>Porcentaje de consultas especializadas atendidas por la DGPAR.</v>
      </c>
      <c r="B124" s="148"/>
      <c r="C124" s="148"/>
      <c r="D124" s="148"/>
      <c r="E124" s="148"/>
      <c r="F124" s="148"/>
      <c r="G124" s="149"/>
    </row>
    <row r="125" spans="1:7" ht="15.75">
      <c r="A125" s="49" t="s">
        <v>193</v>
      </c>
      <c r="B125" s="202" t="s">
        <v>1111</v>
      </c>
      <c r="C125" s="203"/>
      <c r="D125" s="203"/>
      <c r="E125" s="203"/>
      <c r="F125" s="203"/>
      <c r="G125" s="204"/>
    </row>
    <row r="126" spans="1:7" ht="31.5" customHeight="1">
      <c r="A126" s="49" t="s">
        <v>6</v>
      </c>
      <c r="B126" s="206" t="s">
        <v>1112</v>
      </c>
      <c r="C126" s="206"/>
      <c r="D126" s="206"/>
      <c r="E126" s="206"/>
      <c r="F126" s="206"/>
      <c r="G126" s="206"/>
    </row>
    <row r="127" spans="1:7" ht="15.75">
      <c r="A127" s="49" t="s">
        <v>195</v>
      </c>
      <c r="B127" s="206"/>
      <c r="C127" s="206"/>
      <c r="D127" s="206"/>
      <c r="E127" s="206"/>
      <c r="F127" s="206"/>
      <c r="G127" s="206"/>
    </row>
    <row r="128" spans="1:7" ht="15.75">
      <c r="A128" s="147" t="str">
        <f>A81</f>
        <v>Porcentaje de auditorias voluntarias atendidas por la DGPAR</v>
      </c>
      <c r="B128" s="148"/>
      <c r="C128" s="148"/>
      <c r="D128" s="148"/>
      <c r="E128" s="148"/>
      <c r="F128" s="148"/>
      <c r="G128" s="149"/>
    </row>
    <row r="129" spans="1:7" ht="15.75">
      <c r="A129" s="49" t="s">
        <v>193</v>
      </c>
      <c r="B129" s="206" t="s">
        <v>1113</v>
      </c>
      <c r="C129" s="206"/>
      <c r="D129" s="206"/>
      <c r="E129" s="206"/>
      <c r="F129" s="206"/>
      <c r="G129" s="206"/>
    </row>
    <row r="130" spans="1:7" ht="31.5" customHeight="1">
      <c r="A130" s="49" t="s">
        <v>6</v>
      </c>
      <c r="B130" s="206" t="s">
        <v>1114</v>
      </c>
      <c r="C130" s="206"/>
      <c r="D130" s="206"/>
      <c r="E130" s="206"/>
      <c r="F130" s="206"/>
      <c r="G130" s="206"/>
    </row>
    <row r="131" spans="1:7" ht="15.75">
      <c r="A131" s="49" t="s">
        <v>195</v>
      </c>
      <c r="B131" s="206" t="s">
        <v>259</v>
      </c>
      <c r="C131" s="206"/>
      <c r="D131" s="206"/>
      <c r="E131" s="206"/>
      <c r="F131" s="206"/>
      <c r="G131" s="206"/>
    </row>
    <row r="132" spans="1:7" ht="15.75">
      <c r="A132" s="146"/>
      <c r="B132" s="146"/>
      <c r="C132" s="146"/>
      <c r="D132" s="146"/>
      <c r="E132" s="146"/>
      <c r="F132" s="146"/>
      <c r="G132" s="146"/>
    </row>
    <row r="133" spans="1:7" ht="15.75">
      <c r="A133" s="96" t="s">
        <v>226</v>
      </c>
      <c r="B133" s="96"/>
      <c r="C133" s="96"/>
      <c r="D133" s="96"/>
      <c r="E133" s="96"/>
      <c r="F133" s="96"/>
      <c r="G133" s="96"/>
    </row>
    <row r="134" spans="1:7" ht="15.75">
      <c r="A134" s="147" t="str">
        <f>A57</f>
        <v>Porcentaje de esquemas de autorregulación (EA) reconocidos.</v>
      </c>
      <c r="B134" s="148"/>
      <c r="C134" s="148"/>
      <c r="D134" s="148"/>
      <c r="E134" s="148"/>
      <c r="F134" s="148"/>
      <c r="G134" s="149"/>
    </row>
    <row r="135" spans="1:7" ht="31.5" customHeight="1">
      <c r="A135" s="49" t="s">
        <v>227</v>
      </c>
      <c r="B135" s="178" t="s">
        <v>1115</v>
      </c>
      <c r="C135" s="179"/>
      <c r="D135" s="179"/>
      <c r="E135" s="179"/>
      <c r="F135" s="179"/>
      <c r="G135" s="180"/>
    </row>
    <row r="136" spans="1:7" ht="15.75">
      <c r="A136" s="147"/>
      <c r="B136" s="148"/>
      <c r="C136" s="148"/>
      <c r="D136" s="148"/>
      <c r="E136" s="148"/>
      <c r="F136" s="148"/>
      <c r="G136" s="149"/>
    </row>
    <row r="137" spans="1:7" ht="31.5" customHeight="1">
      <c r="A137" s="93" t="s">
        <v>229</v>
      </c>
      <c r="B137" s="93"/>
      <c r="C137" s="93"/>
      <c r="D137" s="93"/>
      <c r="E137" s="93"/>
      <c r="F137" s="93"/>
      <c r="G137" s="93"/>
    </row>
  </sheetData>
  <sheetProtection/>
  <mergeCells count="220">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A133:G133"/>
    <mergeCell ref="A134:G134"/>
    <mergeCell ref="B135:G135"/>
    <mergeCell ref="A136:G136"/>
    <mergeCell ref="A137:G137"/>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4" manualBreakCount="4">
    <brk id="44" max="255" man="1"/>
    <brk id="87" max="255" man="1"/>
    <brk id="111" max="6" man="1"/>
    <brk id="122" max="255" man="1"/>
  </rowBreaks>
</worksheet>
</file>

<file path=xl/worksheets/sheet22.xml><?xml version="1.0" encoding="utf-8"?>
<worksheet xmlns="http://schemas.openxmlformats.org/spreadsheetml/2006/main" xmlns:r="http://schemas.openxmlformats.org/officeDocument/2006/relationships">
  <sheetPr>
    <tabColor rgb="FF00853F"/>
  </sheetPr>
  <dimension ref="A2:G26"/>
  <sheetViews>
    <sheetView showGridLines="0" tabSelected="1" zoomScalePageLayoutView="0" workbookViewId="0" topLeftCell="A1">
      <selection activeCell="A29" sqref="A29:A30"/>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78" t="s">
        <v>0</v>
      </c>
      <c r="B2" s="79"/>
      <c r="C2" s="82" t="s">
        <v>81</v>
      </c>
      <c r="D2" s="82"/>
      <c r="E2" s="82"/>
    </row>
    <row r="3" spans="1:5" ht="25.5" customHeight="1" thickBot="1">
      <c r="A3" s="80"/>
      <c r="B3" s="81"/>
      <c r="C3" s="83"/>
      <c r="D3" s="83"/>
      <c r="E3" s="83"/>
    </row>
    <row r="4" ht="15.75" thickTop="1"/>
    <row r="8" spans="1:5" ht="29.25" customHeight="1">
      <c r="A8" s="212" t="s">
        <v>24</v>
      </c>
      <c r="B8" s="212"/>
      <c r="C8" s="212"/>
      <c r="D8" s="212"/>
      <c r="E8" s="212"/>
    </row>
    <row r="9" spans="1:5" ht="29.25" customHeight="1">
      <c r="A9" s="212"/>
      <c r="B9" s="212"/>
      <c r="C9" s="212"/>
      <c r="D9" s="212"/>
      <c r="E9" s="212"/>
    </row>
    <row r="10" spans="1:5" ht="15">
      <c r="A10" s="212" t="s">
        <v>8</v>
      </c>
      <c r="B10" s="212"/>
      <c r="C10" s="212"/>
      <c r="D10" s="212"/>
      <c r="E10" s="212"/>
    </row>
    <row r="11" spans="1:5" ht="15">
      <c r="A11" s="212"/>
      <c r="B11" s="212"/>
      <c r="C11" s="212"/>
      <c r="D11" s="212"/>
      <c r="E11" s="212"/>
    </row>
    <row r="12" spans="1:5" ht="15">
      <c r="A12" s="212"/>
      <c r="B12" s="212"/>
      <c r="C12" s="212"/>
      <c r="D12" s="212"/>
      <c r="E12" s="212"/>
    </row>
    <row r="13" spans="1:5" ht="27.75">
      <c r="A13" s="194"/>
      <c r="B13" s="194"/>
      <c r="C13" s="194"/>
      <c r="D13" s="194"/>
      <c r="E13" s="194"/>
    </row>
    <row r="14" spans="1:7" s="2" customFormat="1" ht="19.5">
      <c r="A14"/>
      <c r="B14" s="1" t="s">
        <v>1</v>
      </c>
      <c r="C14" s="1" t="s">
        <v>9</v>
      </c>
      <c r="D14" s="1" t="s">
        <v>10</v>
      </c>
      <c r="G14" s="3"/>
    </row>
    <row r="15" spans="1:7" s="2" customFormat="1" ht="19.5">
      <c r="A15"/>
      <c r="B15" s="1" t="s">
        <v>2</v>
      </c>
      <c r="C15" s="1" t="s">
        <v>2</v>
      </c>
      <c r="D15" s="1" t="s">
        <v>11</v>
      </c>
      <c r="G15" s="3"/>
    </row>
    <row r="16" spans="1:7" s="2" customFormat="1" ht="19.5">
      <c r="A16"/>
      <c r="B16" s="1"/>
      <c r="C16" s="1"/>
      <c r="D16" s="1"/>
      <c r="G16" s="3"/>
    </row>
    <row r="17" spans="1:7" s="2" customFormat="1" ht="21">
      <c r="A17" s="4" t="s">
        <v>3</v>
      </c>
      <c r="B17" s="5">
        <v>137.99178</v>
      </c>
      <c r="C17" s="5">
        <v>150.04598703</v>
      </c>
      <c r="D17" s="6">
        <f>(C17)/B17</f>
        <v>1.0873545295958933</v>
      </c>
      <c r="G17" s="3"/>
    </row>
    <row r="18" spans="1:7" s="2" customFormat="1" ht="21">
      <c r="A18" s="4" t="s">
        <v>4</v>
      </c>
      <c r="B18" s="5">
        <v>150.04598703</v>
      </c>
      <c r="C18" s="5">
        <v>150.04598703</v>
      </c>
      <c r="D18" s="6">
        <f>(C18)/B18</f>
        <v>1</v>
      </c>
      <c r="G18" s="3"/>
    </row>
    <row r="19" spans="2:4" ht="15">
      <c r="B19" s="7"/>
      <c r="C19" s="7"/>
      <c r="D19" s="7"/>
    </row>
    <row r="21" spans="1:5" ht="63.75" customHeight="1">
      <c r="A21" s="89" t="s">
        <v>80</v>
      </c>
      <c r="B21" s="89"/>
      <c r="C21" s="89"/>
      <c r="D21" s="89"/>
      <c r="E21" s="89"/>
    </row>
    <row r="22" spans="1:5" ht="19.5">
      <c r="A22" s="87" t="s">
        <v>26</v>
      </c>
      <c r="B22" s="87"/>
      <c r="C22" s="87"/>
      <c r="D22" s="87"/>
      <c r="E22" s="87"/>
    </row>
    <row r="23" spans="1:5" ht="19.5">
      <c r="A23" s="87" t="s">
        <v>25</v>
      </c>
      <c r="B23" s="87"/>
      <c r="C23" s="87"/>
      <c r="D23" s="87"/>
      <c r="E23" s="87"/>
    </row>
    <row r="24" spans="1:5" ht="19.5">
      <c r="A24" s="87" t="s">
        <v>27</v>
      </c>
      <c r="B24" s="87"/>
      <c r="C24" s="87"/>
      <c r="D24" s="87"/>
      <c r="E24" s="87"/>
    </row>
    <row r="25" spans="1:5" ht="19.5">
      <c r="A25" s="87" t="s">
        <v>28</v>
      </c>
      <c r="B25" s="87"/>
      <c r="C25" s="87"/>
      <c r="D25" s="87"/>
      <c r="E25" s="87"/>
    </row>
    <row r="26" spans="1:6" ht="19.5">
      <c r="A26" s="75"/>
      <c r="B26" s="75"/>
      <c r="C26" s="75"/>
      <c r="D26" s="75"/>
      <c r="E26" s="75"/>
      <c r="F26" s="75"/>
    </row>
  </sheetData>
  <sheetProtection/>
  <mergeCells count="10">
    <mergeCell ref="A22:E22"/>
    <mergeCell ref="A23:E23"/>
    <mergeCell ref="A24:E24"/>
    <mergeCell ref="A25:E25"/>
    <mergeCell ref="A2:B3"/>
    <mergeCell ref="C2:E3"/>
    <mergeCell ref="A8:E9"/>
    <mergeCell ref="A10:E12"/>
    <mergeCell ref="A13:E13"/>
    <mergeCell ref="A21:E21"/>
  </mergeCells>
  <hyperlinks>
    <hyperlink ref="A22:E22" location="DGPA!A1" display="Dirección General de Políticas de Acceso"/>
    <hyperlink ref="A23:E23" location="DGTI!A1" display="Dirección General de Tecnologías de la Información"/>
    <hyperlink ref="A24:E24" location="DGVCCEF!A1" display="Dirección General de Vinculación, Coordinación y Colaboración con Entidades Federativas"/>
    <hyperlink ref="A25:E25" location="DGTSN!A1" display="Dirección General Técnica, Seguimiento y Normatividad"/>
  </hyperlinks>
  <printOptions horizontalCentered="1"/>
  <pageMargins left="0.7480314960629921" right="0.7480314960629921" top="0.984251968503937" bottom="0.984251968503937" header="0.5118110236220472" footer="0.5118110236220472"/>
  <pageSetup horizontalDpi="600" verticalDpi="600" orientation="landscape" scale="63" r:id="rId1"/>
</worksheet>
</file>

<file path=xl/worksheets/sheet23.xml><?xml version="1.0" encoding="utf-8"?>
<worksheet xmlns="http://schemas.openxmlformats.org/spreadsheetml/2006/main" xmlns:r="http://schemas.openxmlformats.org/officeDocument/2006/relationships">
  <dimension ref="A1:G119"/>
  <sheetViews>
    <sheetView showGridLines="0" tabSelected="1" view="pageBreakPreview" zoomScale="70" zoomScaleSheetLayoutView="70" zoomScalePageLayoutView="0" workbookViewId="0" topLeftCell="A100">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749</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1815</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751</v>
      </c>
      <c r="B13" s="166"/>
      <c r="C13" s="166"/>
      <c r="D13" s="166"/>
      <c r="E13" s="166"/>
      <c r="F13" s="166"/>
      <c r="G13" s="167"/>
    </row>
    <row r="14" spans="1:7" ht="16.5">
      <c r="A14" s="39"/>
      <c r="B14" s="163" t="s">
        <v>98</v>
      </c>
      <c r="C14" s="163"/>
      <c r="D14" s="163"/>
      <c r="E14" s="163"/>
      <c r="F14" s="163"/>
      <c r="G14" s="164"/>
    </row>
    <row r="15" spans="1:7" ht="15.75">
      <c r="A15" s="40"/>
      <c r="B15" s="168" t="s">
        <v>1373</v>
      </c>
      <c r="C15" s="168"/>
      <c r="D15" s="168"/>
      <c r="E15" s="168"/>
      <c r="F15" s="168"/>
      <c r="G15" s="169"/>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'E003'!B17</f>
        <v>137.99178</v>
      </c>
      <c r="F24" s="43">
        <f>'E003'!C17</f>
        <v>150.04598703</v>
      </c>
      <c r="G24" s="44">
        <f>F24/E24</f>
        <v>1.0873545295958933</v>
      </c>
    </row>
    <row r="25" spans="1:7" ht="15.75">
      <c r="A25" s="123" t="s">
        <v>114</v>
      </c>
      <c r="B25" s="124"/>
      <c r="C25" s="124"/>
      <c r="D25" s="125"/>
      <c r="E25" s="43">
        <f>'E003'!B18</f>
        <v>150.04598703</v>
      </c>
      <c r="F25" s="43">
        <f>'E003'!C18</f>
        <v>150.04598703</v>
      </c>
      <c r="G25" s="44">
        <f>F25/E25</f>
        <v>1</v>
      </c>
    </row>
    <row r="26" spans="1:7" ht="15.75">
      <c r="A26" s="107" t="s">
        <v>115</v>
      </c>
      <c r="B26" s="108"/>
      <c r="C26" s="108"/>
      <c r="D26" s="108"/>
      <c r="E26" s="108"/>
      <c r="F26" s="108"/>
      <c r="G26" s="109"/>
    </row>
    <row r="27" spans="1:7" ht="15.75">
      <c r="A27" s="107" t="s">
        <v>116</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70</v>
      </c>
    </row>
    <row r="30" spans="1:7" ht="15.75">
      <c r="A30" s="105"/>
      <c r="B30" s="105"/>
      <c r="C30" s="105"/>
      <c r="D30" s="105"/>
      <c r="E30" s="105"/>
      <c r="F30" s="45" t="s">
        <v>124</v>
      </c>
      <c r="G30" s="46">
        <v>10</v>
      </c>
    </row>
    <row r="31" spans="1:7" ht="53.25" customHeight="1">
      <c r="A31" s="100" t="s">
        <v>1816</v>
      </c>
      <c r="B31" s="100" t="s">
        <v>1817</v>
      </c>
      <c r="C31" s="100" t="s">
        <v>1818</v>
      </c>
      <c r="D31" s="102" t="s">
        <v>5</v>
      </c>
      <c r="E31" s="102" t="s">
        <v>129</v>
      </c>
      <c r="F31" s="45" t="s">
        <v>130</v>
      </c>
      <c r="G31" s="47">
        <f>12/47*100</f>
        <v>25.53191489361702</v>
      </c>
    </row>
    <row r="32" spans="1:7" ht="53.25" customHeight="1">
      <c r="A32" s="101"/>
      <c r="B32" s="101"/>
      <c r="C32" s="101"/>
      <c r="D32" s="103"/>
      <c r="E32" s="103"/>
      <c r="F32" s="45" t="s">
        <v>131</v>
      </c>
      <c r="G32" s="47">
        <v>255.31914893617022</v>
      </c>
    </row>
    <row r="33" spans="1:7" ht="15.75">
      <c r="A33" s="96" t="s">
        <v>230</v>
      </c>
      <c r="B33" s="96"/>
      <c r="C33" s="96"/>
      <c r="D33" s="96"/>
      <c r="E33" s="96"/>
      <c r="F33" s="96"/>
      <c r="G33" s="96"/>
    </row>
    <row r="34" spans="1:7" ht="15.75">
      <c r="A34" s="106" t="s">
        <v>976</v>
      </c>
      <c r="B34" s="106"/>
      <c r="C34" s="106"/>
      <c r="D34" s="106"/>
      <c r="E34" s="106"/>
      <c r="F34" s="106" t="s">
        <v>977</v>
      </c>
      <c r="G34" s="106"/>
    </row>
    <row r="35" spans="1:7" ht="15.75" customHeight="1">
      <c r="A35" s="104" t="s">
        <v>119</v>
      </c>
      <c r="B35" s="104" t="s">
        <v>120</v>
      </c>
      <c r="C35" s="104" t="s">
        <v>65</v>
      </c>
      <c r="D35" s="104" t="s">
        <v>121</v>
      </c>
      <c r="E35" s="104" t="s">
        <v>122</v>
      </c>
      <c r="F35" s="45" t="s">
        <v>123</v>
      </c>
      <c r="G35" s="46">
        <v>70</v>
      </c>
    </row>
    <row r="36" spans="1:7" ht="15.75">
      <c r="A36" s="105"/>
      <c r="B36" s="105"/>
      <c r="C36" s="105"/>
      <c r="D36" s="105"/>
      <c r="E36" s="105"/>
      <c r="F36" s="45" t="s">
        <v>124</v>
      </c>
      <c r="G36" s="46">
        <v>70</v>
      </c>
    </row>
    <row r="37" spans="1:7" ht="54" customHeight="1">
      <c r="A37" s="100" t="s">
        <v>1819</v>
      </c>
      <c r="B37" s="100" t="s">
        <v>1820</v>
      </c>
      <c r="C37" s="100" t="s">
        <v>1821</v>
      </c>
      <c r="D37" s="102" t="s">
        <v>5</v>
      </c>
      <c r="E37" s="102" t="s">
        <v>129</v>
      </c>
      <c r="F37" s="45" t="s">
        <v>130</v>
      </c>
      <c r="G37" s="47">
        <f>(3/4)*100</f>
        <v>75</v>
      </c>
    </row>
    <row r="38" spans="1:7" ht="54" customHeight="1">
      <c r="A38" s="101"/>
      <c r="B38" s="101"/>
      <c r="C38" s="101"/>
      <c r="D38" s="103"/>
      <c r="E38" s="103"/>
      <c r="F38" s="45" t="s">
        <v>131</v>
      </c>
      <c r="G38" s="47">
        <v>107.14285714285714</v>
      </c>
    </row>
    <row r="39" spans="1:7" ht="15.75">
      <c r="A39" s="96" t="s">
        <v>231</v>
      </c>
      <c r="B39" s="96"/>
      <c r="C39" s="96"/>
      <c r="D39" s="96"/>
      <c r="E39" s="96"/>
      <c r="F39" s="96"/>
      <c r="G39" s="96"/>
    </row>
    <row r="40" spans="1:7" ht="15.75">
      <c r="A40" s="106" t="s">
        <v>976</v>
      </c>
      <c r="B40" s="106"/>
      <c r="C40" s="106"/>
      <c r="D40" s="106"/>
      <c r="E40" s="106"/>
      <c r="F40" s="106" t="s">
        <v>977</v>
      </c>
      <c r="G40" s="106"/>
    </row>
    <row r="41" spans="1:7" ht="15.75" customHeight="1">
      <c r="A41" s="104" t="s">
        <v>119</v>
      </c>
      <c r="B41" s="104" t="s">
        <v>120</v>
      </c>
      <c r="C41" s="104" t="s">
        <v>65</v>
      </c>
      <c r="D41" s="104" t="s">
        <v>121</v>
      </c>
      <c r="E41" s="104" t="s">
        <v>122</v>
      </c>
      <c r="F41" s="45" t="s">
        <v>123</v>
      </c>
      <c r="G41" s="46">
        <v>30</v>
      </c>
    </row>
    <row r="42" spans="1:7" ht="15.75">
      <c r="A42" s="105"/>
      <c r="B42" s="105"/>
      <c r="C42" s="105"/>
      <c r="D42" s="105"/>
      <c r="E42" s="105"/>
      <c r="F42" s="45" t="s">
        <v>124</v>
      </c>
      <c r="G42" s="46">
        <v>30</v>
      </c>
    </row>
    <row r="43" spans="1:7" ht="15.75" customHeight="1">
      <c r="A43" s="100" t="s">
        <v>1822</v>
      </c>
      <c r="B43" s="100" t="s">
        <v>1823</v>
      </c>
      <c r="C43" s="100" t="s">
        <v>1824</v>
      </c>
      <c r="D43" s="102" t="s">
        <v>5</v>
      </c>
      <c r="E43" s="102" t="s">
        <v>298</v>
      </c>
      <c r="F43" s="45" t="s">
        <v>130</v>
      </c>
      <c r="G43" s="47">
        <f>(3/4)*100</f>
        <v>75</v>
      </c>
    </row>
    <row r="44" spans="1:7" ht="40.5" customHeight="1">
      <c r="A44" s="101"/>
      <c r="B44" s="101"/>
      <c r="C44" s="101"/>
      <c r="D44" s="103"/>
      <c r="E44" s="103"/>
      <c r="F44" s="45" t="s">
        <v>131</v>
      </c>
      <c r="G44" s="47">
        <v>250</v>
      </c>
    </row>
    <row r="45" spans="1:7" ht="15.75" customHeight="1">
      <c r="A45" s="104" t="s">
        <v>119</v>
      </c>
      <c r="B45" s="104" t="s">
        <v>120</v>
      </c>
      <c r="C45" s="104" t="s">
        <v>65</v>
      </c>
      <c r="D45" s="104" t="s">
        <v>121</v>
      </c>
      <c r="E45" s="104" t="s">
        <v>122</v>
      </c>
      <c r="F45" s="45" t="s">
        <v>123</v>
      </c>
      <c r="G45" s="46">
        <v>50</v>
      </c>
    </row>
    <row r="46" spans="1:7" ht="15.75">
      <c r="A46" s="105"/>
      <c r="B46" s="105"/>
      <c r="C46" s="105"/>
      <c r="D46" s="105"/>
      <c r="E46" s="105"/>
      <c r="F46" s="45" t="s">
        <v>124</v>
      </c>
      <c r="G46" s="46">
        <v>20</v>
      </c>
    </row>
    <row r="47" spans="1:7" ht="33.75" customHeight="1">
      <c r="A47" s="100" t="s">
        <v>1825</v>
      </c>
      <c r="B47" s="100" t="s">
        <v>1826</v>
      </c>
      <c r="C47" s="100" t="s">
        <v>1827</v>
      </c>
      <c r="D47" s="102" t="s">
        <v>5</v>
      </c>
      <c r="E47" s="102" t="s">
        <v>142</v>
      </c>
      <c r="F47" s="45" t="s">
        <v>130</v>
      </c>
      <c r="G47" s="47" t="s">
        <v>668</v>
      </c>
    </row>
    <row r="48" spans="1:7" ht="33.75" customHeight="1">
      <c r="A48" s="101"/>
      <c r="B48" s="101"/>
      <c r="C48" s="101"/>
      <c r="D48" s="103"/>
      <c r="E48" s="103"/>
      <c r="F48" s="45" t="s">
        <v>131</v>
      </c>
      <c r="G48" s="47" t="s">
        <v>668</v>
      </c>
    </row>
    <row r="49" spans="1:7" ht="15.75">
      <c r="A49" s="96" t="s">
        <v>232</v>
      </c>
      <c r="B49" s="96"/>
      <c r="C49" s="96"/>
      <c r="D49" s="96"/>
      <c r="E49" s="96"/>
      <c r="F49" s="96"/>
      <c r="G49" s="96"/>
    </row>
    <row r="50" spans="1:7" ht="15.75">
      <c r="A50" s="106" t="s">
        <v>976</v>
      </c>
      <c r="B50" s="106"/>
      <c r="C50" s="106"/>
      <c r="D50" s="106"/>
      <c r="E50" s="106"/>
      <c r="F50" s="106" t="s">
        <v>977</v>
      </c>
      <c r="G50" s="106"/>
    </row>
    <row r="51" spans="1:7" ht="15.75" customHeight="1">
      <c r="A51" s="104" t="s">
        <v>119</v>
      </c>
      <c r="B51" s="104" t="s">
        <v>120</v>
      </c>
      <c r="C51" s="104" t="s">
        <v>65</v>
      </c>
      <c r="D51" s="104" t="s">
        <v>121</v>
      </c>
      <c r="E51" s="104" t="s">
        <v>122</v>
      </c>
      <c r="F51" s="45" t="s">
        <v>123</v>
      </c>
      <c r="G51" s="46">
        <v>100</v>
      </c>
    </row>
    <row r="52" spans="1:7" ht="15.75">
      <c r="A52" s="105"/>
      <c r="B52" s="105"/>
      <c r="C52" s="105"/>
      <c r="D52" s="105"/>
      <c r="E52" s="105"/>
      <c r="F52" s="45" t="s">
        <v>124</v>
      </c>
      <c r="G52" s="46">
        <v>100</v>
      </c>
    </row>
    <row r="53" spans="1:7" ht="15.75" customHeight="1">
      <c r="A53" s="100" t="s">
        <v>1828</v>
      </c>
      <c r="B53" s="100" t="s">
        <v>1829</v>
      </c>
      <c r="C53" s="100" t="s">
        <v>1830</v>
      </c>
      <c r="D53" s="102" t="s">
        <v>5</v>
      </c>
      <c r="E53" s="102" t="s">
        <v>142</v>
      </c>
      <c r="F53" s="45" t="s">
        <v>130</v>
      </c>
      <c r="G53" s="47">
        <f>(36/36)*100</f>
        <v>100</v>
      </c>
    </row>
    <row r="54" spans="1:7" ht="40.5" customHeight="1">
      <c r="A54" s="101"/>
      <c r="B54" s="101"/>
      <c r="C54" s="101"/>
      <c r="D54" s="103"/>
      <c r="E54" s="103"/>
      <c r="F54" s="45" t="s">
        <v>131</v>
      </c>
      <c r="G54" s="47">
        <v>100</v>
      </c>
    </row>
    <row r="55" spans="1:7" ht="15.75" customHeight="1">
      <c r="A55" s="104" t="s">
        <v>119</v>
      </c>
      <c r="B55" s="104" t="s">
        <v>120</v>
      </c>
      <c r="C55" s="104" t="s">
        <v>65</v>
      </c>
      <c r="D55" s="104" t="s">
        <v>121</v>
      </c>
      <c r="E55" s="104" t="s">
        <v>122</v>
      </c>
      <c r="F55" s="45" t="s">
        <v>123</v>
      </c>
      <c r="G55" s="46">
        <v>100</v>
      </c>
    </row>
    <row r="56" spans="1:7" ht="15.75">
      <c r="A56" s="105"/>
      <c r="B56" s="105"/>
      <c r="C56" s="105"/>
      <c r="D56" s="105"/>
      <c r="E56" s="105"/>
      <c r="F56" s="45" t="s">
        <v>124</v>
      </c>
      <c r="G56" s="46">
        <v>100</v>
      </c>
    </row>
    <row r="57" spans="1:7" ht="15.75" customHeight="1">
      <c r="A57" s="100" t="s">
        <v>1831</v>
      </c>
      <c r="B57" s="100" t="s">
        <v>1832</v>
      </c>
      <c r="C57" s="100" t="s">
        <v>1833</v>
      </c>
      <c r="D57" s="102" t="s">
        <v>5</v>
      </c>
      <c r="E57" s="102" t="s">
        <v>788</v>
      </c>
      <c r="F57" s="45" t="s">
        <v>130</v>
      </c>
      <c r="G57" s="47">
        <f>(47/47)*100</f>
        <v>100</v>
      </c>
    </row>
    <row r="58" spans="1:7" ht="40.5" customHeight="1">
      <c r="A58" s="101"/>
      <c r="B58" s="101"/>
      <c r="C58" s="101"/>
      <c r="D58" s="103"/>
      <c r="E58" s="103"/>
      <c r="F58" s="45" t="s">
        <v>131</v>
      </c>
      <c r="G58" s="47">
        <v>100</v>
      </c>
    </row>
    <row r="59" spans="1:7" ht="15.75" customHeight="1">
      <c r="A59" s="104" t="s">
        <v>119</v>
      </c>
      <c r="B59" s="104" t="s">
        <v>120</v>
      </c>
      <c r="C59" s="104" t="s">
        <v>65</v>
      </c>
      <c r="D59" s="104" t="s">
        <v>121</v>
      </c>
      <c r="E59" s="104" t="s">
        <v>122</v>
      </c>
      <c r="F59" s="45" t="s">
        <v>123</v>
      </c>
      <c r="G59" s="46">
        <v>100</v>
      </c>
    </row>
    <row r="60" spans="1:7" ht="15.75">
      <c r="A60" s="105"/>
      <c r="B60" s="105"/>
      <c r="C60" s="105"/>
      <c r="D60" s="105"/>
      <c r="E60" s="105"/>
      <c r="F60" s="45" t="s">
        <v>124</v>
      </c>
      <c r="G60" s="46">
        <v>100</v>
      </c>
    </row>
    <row r="61" spans="1:7" ht="15.75" customHeight="1">
      <c r="A61" s="100" t="s">
        <v>1834</v>
      </c>
      <c r="B61" s="100" t="s">
        <v>1835</v>
      </c>
      <c r="C61" s="100" t="s">
        <v>1836</v>
      </c>
      <c r="D61" s="102" t="s">
        <v>5</v>
      </c>
      <c r="E61" s="102" t="s">
        <v>142</v>
      </c>
      <c r="F61" s="45" t="s">
        <v>130</v>
      </c>
      <c r="G61" s="47">
        <f>(2/2)*100</f>
        <v>100</v>
      </c>
    </row>
    <row r="62" spans="1:7" ht="40.5" customHeight="1">
      <c r="A62" s="101"/>
      <c r="B62" s="101"/>
      <c r="C62" s="101"/>
      <c r="D62" s="103"/>
      <c r="E62" s="103"/>
      <c r="F62" s="45" t="s">
        <v>131</v>
      </c>
      <c r="G62" s="47">
        <v>100</v>
      </c>
    </row>
    <row r="63" spans="1:7" ht="15.75" customHeight="1">
      <c r="A63" s="104" t="s">
        <v>119</v>
      </c>
      <c r="B63" s="104" t="s">
        <v>120</v>
      </c>
      <c r="C63" s="104" t="s">
        <v>65</v>
      </c>
      <c r="D63" s="104" t="s">
        <v>121</v>
      </c>
      <c r="E63" s="104" t="s">
        <v>122</v>
      </c>
      <c r="F63" s="45" t="s">
        <v>123</v>
      </c>
      <c r="G63" s="46">
        <v>100</v>
      </c>
    </row>
    <row r="64" spans="1:7" ht="15.75">
      <c r="A64" s="105"/>
      <c r="B64" s="105"/>
      <c r="C64" s="105"/>
      <c r="D64" s="105"/>
      <c r="E64" s="105"/>
      <c r="F64" s="45" t="s">
        <v>124</v>
      </c>
      <c r="G64" s="46">
        <v>100</v>
      </c>
    </row>
    <row r="65" spans="1:7" ht="36.75" customHeight="1">
      <c r="A65" s="100" t="s">
        <v>1837</v>
      </c>
      <c r="B65" s="100" t="s">
        <v>1838</v>
      </c>
      <c r="C65" s="100" t="s">
        <v>616</v>
      </c>
      <c r="D65" s="102" t="s">
        <v>5</v>
      </c>
      <c r="E65" s="102" t="s">
        <v>142</v>
      </c>
      <c r="F65" s="45" t="s">
        <v>130</v>
      </c>
      <c r="G65" s="47">
        <f>(100*20)/100+(100*20)/100+(100*20)/100+(100*5)/100+(100*5)/100+(100*5)/100+(50*5)/100+(50*5)/100+(100*5)/100+(100*0)/100+(100*5)/100</f>
        <v>90</v>
      </c>
    </row>
    <row r="66" spans="1:7" ht="36.75" customHeight="1">
      <c r="A66" s="101"/>
      <c r="B66" s="101"/>
      <c r="C66" s="101"/>
      <c r="D66" s="103"/>
      <c r="E66" s="103"/>
      <c r="F66" s="45" t="s">
        <v>131</v>
      </c>
      <c r="G66" s="47">
        <v>90</v>
      </c>
    </row>
    <row r="67" spans="1:7" ht="15.75">
      <c r="A67" s="96" t="s">
        <v>192</v>
      </c>
      <c r="B67" s="96"/>
      <c r="C67" s="96"/>
      <c r="D67" s="96"/>
      <c r="E67" s="96"/>
      <c r="F67" s="96"/>
      <c r="G67" s="96"/>
    </row>
    <row r="68" spans="1:7" ht="15.75">
      <c r="A68" s="99" t="s">
        <v>1816</v>
      </c>
      <c r="B68" s="99"/>
      <c r="C68" s="99"/>
      <c r="D68" s="99"/>
      <c r="E68" s="99"/>
      <c r="F68" s="99"/>
      <c r="G68" s="99"/>
    </row>
    <row r="69" spans="1:7" ht="228" customHeight="1">
      <c r="A69" s="48" t="s">
        <v>193</v>
      </c>
      <c r="B69" s="94" t="s">
        <v>1839</v>
      </c>
      <c r="C69" s="94"/>
      <c r="D69" s="94"/>
      <c r="E69" s="94"/>
      <c r="F69" s="94"/>
      <c r="G69" s="94"/>
    </row>
    <row r="70" spans="1:7" ht="31.5" customHeight="1">
      <c r="A70" s="49" t="s">
        <v>6</v>
      </c>
      <c r="B70" s="94" t="s">
        <v>1840</v>
      </c>
      <c r="C70" s="94"/>
      <c r="D70" s="94"/>
      <c r="E70" s="94"/>
      <c r="F70" s="94"/>
      <c r="G70" s="94"/>
    </row>
    <row r="71" spans="1:7" ht="15.75">
      <c r="A71" s="49" t="s">
        <v>195</v>
      </c>
      <c r="B71" s="95" t="s">
        <v>259</v>
      </c>
      <c r="C71" s="95"/>
      <c r="D71" s="95"/>
      <c r="E71" s="95"/>
      <c r="F71" s="95"/>
      <c r="G71" s="95"/>
    </row>
    <row r="72" spans="1:7" ht="31.5" customHeight="1">
      <c r="A72" s="90" t="s">
        <v>1819</v>
      </c>
      <c r="B72" s="90"/>
      <c r="C72" s="90"/>
      <c r="D72" s="90"/>
      <c r="E72" s="90"/>
      <c r="F72" s="90"/>
      <c r="G72" s="90"/>
    </row>
    <row r="73" spans="1:7" ht="42" customHeight="1">
      <c r="A73" s="49" t="s">
        <v>193</v>
      </c>
      <c r="B73" s="94" t="s">
        <v>1841</v>
      </c>
      <c r="C73" s="94"/>
      <c r="D73" s="94"/>
      <c r="E73" s="94"/>
      <c r="F73" s="94"/>
      <c r="G73" s="94"/>
    </row>
    <row r="74" spans="1:7" ht="31.5" customHeight="1">
      <c r="A74" s="49" t="s">
        <v>6</v>
      </c>
      <c r="B74" s="94" t="s">
        <v>1842</v>
      </c>
      <c r="C74" s="94"/>
      <c r="D74" s="94"/>
      <c r="E74" s="94"/>
      <c r="F74" s="94"/>
      <c r="G74" s="94"/>
    </row>
    <row r="75" spans="1:7" ht="15.75">
      <c r="A75" s="49" t="s">
        <v>195</v>
      </c>
      <c r="B75" s="95" t="s">
        <v>259</v>
      </c>
      <c r="C75" s="95"/>
      <c r="D75" s="95"/>
      <c r="E75" s="95"/>
      <c r="F75" s="95"/>
      <c r="G75" s="95"/>
    </row>
    <row r="76" spans="1:7" ht="15.75">
      <c r="A76" s="90" t="s">
        <v>1822</v>
      </c>
      <c r="B76" s="90"/>
      <c r="C76" s="90"/>
      <c r="D76" s="90"/>
      <c r="E76" s="90"/>
      <c r="F76" s="90"/>
      <c r="G76" s="90"/>
    </row>
    <row r="77" spans="1:7" ht="43.5" customHeight="1">
      <c r="A77" s="49" t="s">
        <v>193</v>
      </c>
      <c r="B77" s="94" t="s">
        <v>1843</v>
      </c>
      <c r="C77" s="94"/>
      <c r="D77" s="94"/>
      <c r="E77" s="94"/>
      <c r="F77" s="94"/>
      <c r="G77" s="94"/>
    </row>
    <row r="78" spans="1:7" ht="43.5" customHeight="1">
      <c r="A78" s="49" t="s">
        <v>6</v>
      </c>
      <c r="B78" s="94" t="s">
        <v>1844</v>
      </c>
      <c r="C78" s="94"/>
      <c r="D78" s="94"/>
      <c r="E78" s="94"/>
      <c r="F78" s="94"/>
      <c r="G78" s="94"/>
    </row>
    <row r="79" spans="1:7" ht="15.75">
      <c r="A79" s="49" t="s">
        <v>195</v>
      </c>
      <c r="B79" s="95" t="s">
        <v>259</v>
      </c>
      <c r="C79" s="95"/>
      <c r="D79" s="95"/>
      <c r="E79" s="95"/>
      <c r="F79" s="95"/>
      <c r="G79" s="95"/>
    </row>
    <row r="80" spans="1:7" ht="15.75">
      <c r="A80" s="90" t="s">
        <v>1825</v>
      </c>
      <c r="B80" s="90"/>
      <c r="C80" s="90"/>
      <c r="D80" s="90"/>
      <c r="E80" s="90"/>
      <c r="F80" s="90"/>
      <c r="G80" s="90"/>
    </row>
    <row r="81" spans="1:7" ht="42.75" customHeight="1">
      <c r="A81" s="49" t="s">
        <v>193</v>
      </c>
      <c r="B81" s="94" t="s">
        <v>1845</v>
      </c>
      <c r="C81" s="94"/>
      <c r="D81" s="94"/>
      <c r="E81" s="94"/>
      <c r="F81" s="94"/>
      <c r="G81" s="94"/>
    </row>
    <row r="82" spans="1:7" ht="31.5" customHeight="1">
      <c r="A82" s="49" t="s">
        <v>6</v>
      </c>
      <c r="B82" s="94" t="s">
        <v>1846</v>
      </c>
      <c r="C82" s="94"/>
      <c r="D82" s="94"/>
      <c r="E82" s="94"/>
      <c r="F82" s="94"/>
      <c r="G82" s="94"/>
    </row>
    <row r="83" spans="1:7" ht="15.75">
      <c r="A83" s="49" t="s">
        <v>195</v>
      </c>
      <c r="B83" s="95" t="s">
        <v>259</v>
      </c>
      <c r="C83" s="95"/>
      <c r="D83" s="95"/>
      <c r="E83" s="95"/>
      <c r="F83" s="95"/>
      <c r="G83" s="95"/>
    </row>
    <row r="84" spans="1:7" ht="15.75">
      <c r="A84" s="90" t="s">
        <v>1828</v>
      </c>
      <c r="B84" s="90"/>
      <c r="C84" s="90"/>
      <c r="D84" s="90"/>
      <c r="E84" s="90"/>
      <c r="F84" s="90"/>
      <c r="G84" s="90"/>
    </row>
    <row r="85" spans="1:7" ht="117" customHeight="1">
      <c r="A85" s="49" t="s">
        <v>193</v>
      </c>
      <c r="B85" s="94" t="s">
        <v>1847</v>
      </c>
      <c r="C85" s="94"/>
      <c r="D85" s="94"/>
      <c r="E85" s="94"/>
      <c r="F85" s="94"/>
      <c r="G85" s="94"/>
    </row>
    <row r="86" spans="1:7" ht="31.5" customHeight="1">
      <c r="A86" s="49" t="s">
        <v>6</v>
      </c>
      <c r="B86" s="94" t="s">
        <v>1848</v>
      </c>
      <c r="C86" s="94"/>
      <c r="D86" s="94"/>
      <c r="E86" s="94"/>
      <c r="F86" s="94"/>
      <c r="G86" s="94"/>
    </row>
    <row r="87" spans="1:7" ht="15.75">
      <c r="A87" s="49" t="s">
        <v>195</v>
      </c>
      <c r="B87" s="95" t="s">
        <v>259</v>
      </c>
      <c r="C87" s="95"/>
      <c r="D87" s="95"/>
      <c r="E87" s="95"/>
      <c r="F87" s="95"/>
      <c r="G87" s="95"/>
    </row>
    <row r="88" spans="1:7" ht="15.75">
      <c r="A88" s="90" t="s">
        <v>1831</v>
      </c>
      <c r="B88" s="90"/>
      <c r="C88" s="90"/>
      <c r="D88" s="90"/>
      <c r="E88" s="90"/>
      <c r="F88" s="90"/>
      <c r="G88" s="90"/>
    </row>
    <row r="89" spans="1:7" ht="213" customHeight="1">
      <c r="A89" s="49" t="s">
        <v>193</v>
      </c>
      <c r="B89" s="94" t="s">
        <v>1849</v>
      </c>
      <c r="C89" s="94"/>
      <c r="D89" s="94"/>
      <c r="E89" s="94"/>
      <c r="F89" s="94"/>
      <c r="G89" s="94"/>
    </row>
    <row r="90" spans="1:7" ht="31.5" customHeight="1">
      <c r="A90" s="49" t="s">
        <v>6</v>
      </c>
      <c r="B90" s="94" t="s">
        <v>1848</v>
      </c>
      <c r="C90" s="94"/>
      <c r="D90" s="94"/>
      <c r="E90" s="94"/>
      <c r="F90" s="94"/>
      <c r="G90" s="94"/>
    </row>
    <row r="91" spans="1:7" ht="15.75">
      <c r="A91" s="49" t="s">
        <v>195</v>
      </c>
      <c r="B91" s="95" t="s">
        <v>259</v>
      </c>
      <c r="C91" s="95"/>
      <c r="D91" s="95"/>
      <c r="E91" s="95"/>
      <c r="F91" s="95"/>
      <c r="G91" s="95"/>
    </row>
    <row r="92" spans="1:7" ht="15.75">
      <c r="A92" s="90" t="s">
        <v>1834</v>
      </c>
      <c r="B92" s="90"/>
      <c r="C92" s="90"/>
      <c r="D92" s="90"/>
      <c r="E92" s="90"/>
      <c r="F92" s="90"/>
      <c r="G92" s="90"/>
    </row>
    <row r="93" spans="1:7" ht="67.5" customHeight="1">
      <c r="A93" s="49" t="s">
        <v>193</v>
      </c>
      <c r="B93" s="94" t="s">
        <v>1850</v>
      </c>
      <c r="C93" s="94"/>
      <c r="D93" s="94"/>
      <c r="E93" s="94"/>
      <c r="F93" s="94"/>
      <c r="G93" s="94"/>
    </row>
    <row r="94" spans="1:7" ht="31.5" customHeight="1">
      <c r="A94" s="49" t="s">
        <v>6</v>
      </c>
      <c r="B94" s="94" t="s">
        <v>1851</v>
      </c>
      <c r="C94" s="94"/>
      <c r="D94" s="94"/>
      <c r="E94" s="94"/>
      <c r="F94" s="94"/>
      <c r="G94" s="94"/>
    </row>
    <row r="95" spans="1:7" ht="15.75">
      <c r="A95" s="49" t="s">
        <v>195</v>
      </c>
      <c r="B95" s="95" t="s">
        <v>259</v>
      </c>
      <c r="C95" s="95"/>
      <c r="D95" s="95"/>
      <c r="E95" s="95"/>
      <c r="F95" s="95"/>
      <c r="G95" s="95"/>
    </row>
    <row r="96" spans="1:7" ht="15.75">
      <c r="A96" s="90" t="s">
        <v>1837</v>
      </c>
      <c r="B96" s="90"/>
      <c r="C96" s="90"/>
      <c r="D96" s="90"/>
      <c r="E96" s="90"/>
      <c r="F96" s="90"/>
      <c r="G96" s="90"/>
    </row>
    <row r="97" spans="1:7" ht="283.5" customHeight="1">
      <c r="A97" s="49" t="s">
        <v>193</v>
      </c>
      <c r="B97" s="94" t="s">
        <v>1852</v>
      </c>
      <c r="C97" s="94"/>
      <c r="D97" s="94"/>
      <c r="E97" s="94"/>
      <c r="F97" s="94"/>
      <c r="G97" s="94"/>
    </row>
    <row r="98" spans="1:7" ht="82.5" customHeight="1">
      <c r="A98" s="49" t="s">
        <v>6</v>
      </c>
      <c r="B98" s="94" t="s">
        <v>1853</v>
      </c>
      <c r="C98" s="94"/>
      <c r="D98" s="94"/>
      <c r="E98" s="94"/>
      <c r="F98" s="94"/>
      <c r="G98" s="94"/>
    </row>
    <row r="99" spans="1:7" ht="15.75">
      <c r="A99" s="49" t="s">
        <v>195</v>
      </c>
      <c r="B99" s="95" t="s">
        <v>259</v>
      </c>
      <c r="C99" s="95"/>
      <c r="D99" s="95"/>
      <c r="E99" s="95"/>
      <c r="F99" s="95"/>
      <c r="G99" s="95"/>
    </row>
    <row r="100" spans="1:7" ht="15.75">
      <c r="A100" s="146"/>
      <c r="B100" s="146"/>
      <c r="C100" s="146"/>
      <c r="D100" s="146"/>
      <c r="E100" s="146"/>
      <c r="F100" s="146"/>
      <c r="G100" s="146"/>
    </row>
    <row r="101" spans="1:7" ht="15.75">
      <c r="A101" s="96" t="s">
        <v>226</v>
      </c>
      <c r="B101" s="96"/>
      <c r="C101" s="96"/>
      <c r="D101" s="96"/>
      <c r="E101" s="96"/>
      <c r="F101" s="96"/>
      <c r="G101" s="96"/>
    </row>
    <row r="102" spans="1:7" ht="15.75">
      <c r="A102" s="90" t="s">
        <v>1816</v>
      </c>
      <c r="B102" s="90"/>
      <c r="C102" s="90"/>
      <c r="D102" s="90"/>
      <c r="E102" s="90"/>
      <c r="F102" s="90"/>
      <c r="G102" s="90"/>
    </row>
    <row r="103" spans="1:7" ht="31.5" customHeight="1">
      <c r="A103" s="49" t="s">
        <v>227</v>
      </c>
      <c r="B103" s="91" t="s">
        <v>1854</v>
      </c>
      <c r="C103" s="91"/>
      <c r="D103" s="91"/>
      <c r="E103" s="91"/>
      <c r="F103" s="91"/>
      <c r="G103" s="91"/>
    </row>
    <row r="104" spans="1:7" ht="31.5" customHeight="1">
      <c r="A104" s="90" t="s">
        <v>1819</v>
      </c>
      <c r="B104" s="90"/>
      <c r="C104" s="90"/>
      <c r="D104" s="90"/>
      <c r="E104" s="90"/>
      <c r="F104" s="90"/>
      <c r="G104" s="90"/>
    </row>
    <row r="105" spans="1:7" ht="15.75">
      <c r="A105" s="49" t="s">
        <v>227</v>
      </c>
      <c r="B105" s="91"/>
      <c r="C105" s="91"/>
      <c r="D105" s="91"/>
      <c r="E105" s="91"/>
      <c r="F105" s="91"/>
      <c r="G105" s="91"/>
    </row>
    <row r="106" spans="1:7" ht="15.75">
      <c r="A106" s="90" t="s">
        <v>1822</v>
      </c>
      <c r="B106" s="90"/>
      <c r="C106" s="90"/>
      <c r="D106" s="90"/>
      <c r="E106" s="90"/>
      <c r="F106" s="90"/>
      <c r="G106" s="90"/>
    </row>
    <row r="107" spans="1:7" ht="15.75">
      <c r="A107" s="49" t="s">
        <v>227</v>
      </c>
      <c r="B107" s="91"/>
      <c r="C107" s="91"/>
      <c r="D107" s="91"/>
      <c r="E107" s="91"/>
      <c r="F107" s="91"/>
      <c r="G107" s="91"/>
    </row>
    <row r="108" spans="1:7" ht="15.75">
      <c r="A108" s="90" t="s">
        <v>1825</v>
      </c>
      <c r="B108" s="90"/>
      <c r="C108" s="90"/>
      <c r="D108" s="90"/>
      <c r="E108" s="90"/>
      <c r="F108" s="90"/>
      <c r="G108" s="90"/>
    </row>
    <row r="109" spans="1:7" ht="15.75">
      <c r="A109" s="49" t="s">
        <v>227</v>
      </c>
      <c r="B109" s="91"/>
      <c r="C109" s="91"/>
      <c r="D109" s="91"/>
      <c r="E109" s="91"/>
      <c r="F109" s="91"/>
      <c r="G109" s="91"/>
    </row>
    <row r="110" spans="1:7" ht="15.75">
      <c r="A110" s="90" t="s">
        <v>1828</v>
      </c>
      <c r="B110" s="90"/>
      <c r="C110" s="90"/>
      <c r="D110" s="90"/>
      <c r="E110" s="90"/>
      <c r="F110" s="90"/>
      <c r="G110" s="90"/>
    </row>
    <row r="111" spans="1:7" ht="15.75">
      <c r="A111" s="49" t="s">
        <v>227</v>
      </c>
      <c r="B111" s="91"/>
      <c r="C111" s="91"/>
      <c r="D111" s="91"/>
      <c r="E111" s="91"/>
      <c r="F111" s="91"/>
      <c r="G111" s="91"/>
    </row>
    <row r="112" spans="1:7" ht="15.75">
      <c r="A112" s="90" t="s">
        <v>1831</v>
      </c>
      <c r="B112" s="90"/>
      <c r="C112" s="90"/>
      <c r="D112" s="90"/>
      <c r="E112" s="90"/>
      <c r="F112" s="90"/>
      <c r="G112" s="90"/>
    </row>
    <row r="113" spans="1:7" ht="15.75">
      <c r="A113" s="49" t="s">
        <v>227</v>
      </c>
      <c r="B113" s="91"/>
      <c r="C113" s="91"/>
      <c r="D113" s="91"/>
      <c r="E113" s="91"/>
      <c r="F113" s="91"/>
      <c r="G113" s="91"/>
    </row>
    <row r="114" spans="1:7" ht="15.75">
      <c r="A114" s="90" t="s">
        <v>1834</v>
      </c>
      <c r="B114" s="90"/>
      <c r="C114" s="90"/>
      <c r="D114" s="90"/>
      <c r="E114" s="90"/>
      <c r="F114" s="90"/>
      <c r="G114" s="90"/>
    </row>
    <row r="115" spans="1:7" ht="15.75">
      <c r="A115" s="49" t="s">
        <v>227</v>
      </c>
      <c r="B115" s="91"/>
      <c r="C115" s="91"/>
      <c r="D115" s="91"/>
      <c r="E115" s="91"/>
      <c r="F115" s="91"/>
      <c r="G115" s="91"/>
    </row>
    <row r="116" spans="1:7" ht="15.75">
      <c r="A116" s="90" t="s">
        <v>1837</v>
      </c>
      <c r="B116" s="90"/>
      <c r="C116" s="90"/>
      <c r="D116" s="90"/>
      <c r="E116" s="90"/>
      <c r="F116" s="90"/>
      <c r="G116" s="90"/>
    </row>
    <row r="117" spans="1:7" ht="15.75">
      <c r="A117" s="49" t="s">
        <v>227</v>
      </c>
      <c r="B117" s="91"/>
      <c r="C117" s="91"/>
      <c r="D117" s="91"/>
      <c r="E117" s="91"/>
      <c r="F117" s="91"/>
      <c r="G117" s="91"/>
    </row>
    <row r="118" spans="1:7" ht="15.75">
      <c r="A118" s="146"/>
      <c r="B118" s="146"/>
      <c r="C118" s="146"/>
      <c r="D118" s="146"/>
      <c r="E118" s="146"/>
      <c r="F118" s="146"/>
      <c r="G118" s="146"/>
    </row>
    <row r="119" spans="1:7" ht="31.5" customHeight="1">
      <c r="A119" s="93" t="s">
        <v>229</v>
      </c>
      <c r="B119" s="93"/>
      <c r="C119" s="93"/>
      <c r="D119" s="93"/>
      <c r="E119" s="93"/>
      <c r="F119" s="93"/>
      <c r="G119" s="93"/>
    </row>
  </sheetData>
  <sheetProtection/>
  <mergeCells count="178">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B69:G69"/>
    <mergeCell ref="B70:G70"/>
    <mergeCell ref="B71:G71"/>
    <mergeCell ref="A72:G72"/>
    <mergeCell ref="B73:G73"/>
    <mergeCell ref="B74:G74"/>
    <mergeCell ref="B75:G75"/>
    <mergeCell ref="A76:G76"/>
    <mergeCell ref="B77:G77"/>
    <mergeCell ref="B78:G78"/>
    <mergeCell ref="B79:G79"/>
    <mergeCell ref="A80:G80"/>
    <mergeCell ref="B81:G81"/>
    <mergeCell ref="B82:G82"/>
    <mergeCell ref="B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 ref="A102:G102"/>
    <mergeCell ref="B103:G103"/>
    <mergeCell ref="A104:G104"/>
    <mergeCell ref="B105:G105"/>
    <mergeCell ref="A106:G106"/>
    <mergeCell ref="B107:G107"/>
    <mergeCell ref="A108:G108"/>
    <mergeCell ref="B109:G109"/>
    <mergeCell ref="A116:G116"/>
    <mergeCell ref="B117:G117"/>
    <mergeCell ref="A118:G118"/>
    <mergeCell ref="A119:G119"/>
    <mergeCell ref="A110:G110"/>
    <mergeCell ref="B111:G111"/>
    <mergeCell ref="A112:G112"/>
    <mergeCell ref="B113:G113"/>
    <mergeCell ref="A114:G114"/>
    <mergeCell ref="B115:G115"/>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3" manualBreakCount="3">
    <brk id="44" max="255" man="1"/>
    <brk id="75" max="255" man="1"/>
    <brk id="95" max="255" man="1"/>
  </rowBreaks>
</worksheet>
</file>

<file path=xl/worksheets/sheet24.xml><?xml version="1.0" encoding="utf-8"?>
<worksheet xmlns="http://schemas.openxmlformats.org/spreadsheetml/2006/main" xmlns:r="http://schemas.openxmlformats.org/officeDocument/2006/relationships">
  <dimension ref="A1:G175"/>
  <sheetViews>
    <sheetView showGridLines="0" tabSelected="1" view="pageBreakPreview" zoomScale="70" zoomScaleSheetLayoutView="70" zoomScalePageLayoutView="0" workbookViewId="0" topLeftCell="A136">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749</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750</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751</v>
      </c>
      <c r="B13" s="166"/>
      <c r="C13" s="166"/>
      <c r="D13" s="166"/>
      <c r="E13" s="166"/>
      <c r="F13" s="166"/>
      <c r="G13" s="167"/>
    </row>
    <row r="14" spans="1:7" ht="16.5">
      <c r="A14" s="39"/>
      <c r="B14" s="163" t="s">
        <v>98</v>
      </c>
      <c r="C14" s="163"/>
      <c r="D14" s="163"/>
      <c r="E14" s="163"/>
      <c r="F14" s="163"/>
      <c r="G14" s="164"/>
    </row>
    <row r="15" spans="1:7" ht="15.75">
      <c r="A15" s="40"/>
      <c r="B15" s="168" t="s">
        <v>427</v>
      </c>
      <c r="C15" s="168"/>
      <c r="D15" s="168"/>
      <c r="E15" s="168"/>
      <c r="F15" s="168"/>
      <c r="G15" s="169"/>
    </row>
    <row r="16" spans="1:7" ht="15.75">
      <c r="A16" s="107" t="s">
        <v>100</v>
      </c>
      <c r="B16" s="108"/>
      <c r="C16" s="108"/>
      <c r="D16" s="108"/>
      <c r="E16" s="108"/>
      <c r="F16" s="108"/>
      <c r="G16" s="109"/>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ustomHeight="1">
      <c r="A19" s="110" t="s">
        <v>105</v>
      </c>
      <c r="B19" s="111"/>
      <c r="C19" s="112" t="s">
        <v>106</v>
      </c>
      <c r="D19" s="113"/>
      <c r="E19" s="113"/>
      <c r="F19" s="113"/>
      <c r="G19" s="114"/>
    </row>
    <row r="20" spans="1:7" ht="15.75" customHeight="1">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'E003'!B17</f>
        <v>137.99178</v>
      </c>
      <c r="F24" s="43">
        <f>'E003'!C17</f>
        <v>150.04598703</v>
      </c>
      <c r="G24" s="44">
        <f>F24/E24</f>
        <v>1.0873545295958933</v>
      </c>
    </row>
    <row r="25" spans="1:7" ht="15.75">
      <c r="A25" s="123" t="s">
        <v>114</v>
      </c>
      <c r="B25" s="124"/>
      <c r="C25" s="124"/>
      <c r="D25" s="125"/>
      <c r="E25" s="43">
        <f>'E003'!B18</f>
        <v>150.04598703</v>
      </c>
      <c r="F25" s="43">
        <f>'E003'!C18</f>
        <v>150.04598703</v>
      </c>
      <c r="G25" s="44">
        <f>F25/E25</f>
        <v>1</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90" t="s">
        <v>117</v>
      </c>
      <c r="B28" s="191"/>
      <c r="C28" s="191"/>
      <c r="D28" s="191"/>
      <c r="E28" s="192"/>
      <c r="F28" s="190" t="s">
        <v>118</v>
      </c>
      <c r="G28" s="192"/>
    </row>
    <row r="29" spans="1:7" ht="15.75" customHeight="1">
      <c r="A29" s="104" t="s">
        <v>119</v>
      </c>
      <c r="B29" s="104" t="s">
        <v>120</v>
      </c>
      <c r="C29" s="104" t="s">
        <v>65</v>
      </c>
      <c r="D29" s="104" t="s">
        <v>121</v>
      </c>
      <c r="E29" s="104" t="s">
        <v>122</v>
      </c>
      <c r="F29" s="45" t="s">
        <v>123</v>
      </c>
      <c r="G29" s="46">
        <v>0.8</v>
      </c>
    </row>
    <row r="30" spans="1:7" ht="15.75">
      <c r="A30" s="105"/>
      <c r="B30" s="105"/>
      <c r="C30" s="105"/>
      <c r="D30" s="105"/>
      <c r="E30" s="105"/>
      <c r="F30" s="45" t="s">
        <v>124</v>
      </c>
      <c r="G30" s="46">
        <v>0.8</v>
      </c>
    </row>
    <row r="31" spans="1:7" ht="47.25" customHeight="1">
      <c r="A31" s="100" t="s">
        <v>752</v>
      </c>
      <c r="B31" s="100" t="s">
        <v>753</v>
      </c>
      <c r="C31" s="100" t="s">
        <v>754</v>
      </c>
      <c r="D31" s="102" t="s">
        <v>128</v>
      </c>
      <c r="E31" s="102" t="s">
        <v>129</v>
      </c>
      <c r="F31" s="45" t="s">
        <v>130</v>
      </c>
      <c r="G31" s="47">
        <f>(1*0.5)+(0.9816*0.3)+(0.9036*0.2)</f>
        <v>0.9752000000000001</v>
      </c>
    </row>
    <row r="32" spans="1:7" ht="47.25" customHeight="1">
      <c r="A32" s="101"/>
      <c r="B32" s="101"/>
      <c r="C32" s="101"/>
      <c r="D32" s="103"/>
      <c r="E32" s="103"/>
      <c r="F32" s="45" t="s">
        <v>131</v>
      </c>
      <c r="G32" s="47">
        <v>121.9</v>
      </c>
    </row>
    <row r="33" spans="1:7" ht="15.75">
      <c r="A33" s="96" t="s">
        <v>288</v>
      </c>
      <c r="B33" s="96"/>
      <c r="C33" s="96"/>
      <c r="D33" s="96"/>
      <c r="E33" s="96"/>
      <c r="F33" s="96"/>
      <c r="G33" s="96"/>
    </row>
    <row r="34" spans="1:7" ht="15.75">
      <c r="A34" s="190" t="s">
        <v>117</v>
      </c>
      <c r="B34" s="191"/>
      <c r="C34" s="191"/>
      <c r="D34" s="191"/>
      <c r="E34" s="192"/>
      <c r="F34" s="190" t="s">
        <v>118</v>
      </c>
      <c r="G34" s="192"/>
    </row>
    <row r="35" spans="1:7" ht="15.75" customHeight="1">
      <c r="A35" s="104" t="s">
        <v>119</v>
      </c>
      <c r="B35" s="104" t="s">
        <v>120</v>
      </c>
      <c r="C35" s="104" t="s">
        <v>65</v>
      </c>
      <c r="D35" s="104" t="s">
        <v>121</v>
      </c>
      <c r="E35" s="104" t="s">
        <v>122</v>
      </c>
      <c r="F35" s="45" t="s">
        <v>123</v>
      </c>
      <c r="G35" s="46">
        <v>0.8</v>
      </c>
    </row>
    <row r="36" spans="1:7" ht="15.75">
      <c r="A36" s="105"/>
      <c r="B36" s="105"/>
      <c r="C36" s="105"/>
      <c r="D36" s="105"/>
      <c r="E36" s="105"/>
      <c r="F36" s="45" t="s">
        <v>124</v>
      </c>
      <c r="G36" s="46">
        <v>0.8</v>
      </c>
    </row>
    <row r="37" spans="1:7" ht="47.25" customHeight="1">
      <c r="A37" s="100" t="s">
        <v>755</v>
      </c>
      <c r="B37" s="100" t="s">
        <v>756</v>
      </c>
      <c r="C37" s="100" t="s">
        <v>757</v>
      </c>
      <c r="D37" s="102" t="s">
        <v>128</v>
      </c>
      <c r="E37" s="102" t="s">
        <v>292</v>
      </c>
      <c r="F37" s="45" t="s">
        <v>130</v>
      </c>
      <c r="G37" s="47">
        <f>(1*0.5)+(0.9816*0.3)+(0.9036*0.2)</f>
        <v>0.9752000000000001</v>
      </c>
    </row>
    <row r="38" spans="1:7" ht="47.25" customHeight="1">
      <c r="A38" s="101"/>
      <c r="B38" s="101"/>
      <c r="C38" s="101"/>
      <c r="D38" s="103"/>
      <c r="E38" s="103"/>
      <c r="F38" s="45" t="s">
        <v>131</v>
      </c>
      <c r="G38" s="47">
        <v>121.9</v>
      </c>
    </row>
    <row r="39" spans="1:7" ht="15.75">
      <c r="A39" s="96" t="s">
        <v>293</v>
      </c>
      <c r="B39" s="96"/>
      <c r="C39" s="96"/>
      <c r="D39" s="96"/>
      <c r="E39" s="96"/>
      <c r="F39" s="96"/>
      <c r="G39" s="96"/>
    </row>
    <row r="40" spans="1:7" ht="15.75">
      <c r="A40" s="190" t="s">
        <v>117</v>
      </c>
      <c r="B40" s="191"/>
      <c r="C40" s="191"/>
      <c r="D40" s="191"/>
      <c r="E40" s="192"/>
      <c r="F40" s="190" t="s">
        <v>118</v>
      </c>
      <c r="G40" s="192"/>
    </row>
    <row r="41" spans="1:7" ht="15.75" customHeight="1">
      <c r="A41" s="104" t="s">
        <v>119</v>
      </c>
      <c r="B41" s="104" t="s">
        <v>120</v>
      </c>
      <c r="C41" s="104" t="s">
        <v>65</v>
      </c>
      <c r="D41" s="104" t="s">
        <v>121</v>
      </c>
      <c r="E41" s="104" t="s">
        <v>122</v>
      </c>
      <c r="F41" s="45" t="s">
        <v>123</v>
      </c>
      <c r="G41" s="46">
        <v>80</v>
      </c>
    </row>
    <row r="42" spans="1:7" ht="15.75">
      <c r="A42" s="105"/>
      <c r="B42" s="105"/>
      <c r="C42" s="105"/>
      <c r="D42" s="105"/>
      <c r="E42" s="105"/>
      <c r="F42" s="45" t="s">
        <v>124</v>
      </c>
      <c r="G42" s="46">
        <v>80</v>
      </c>
    </row>
    <row r="43" spans="1:7" ht="15.75" customHeight="1">
      <c r="A43" s="100" t="s">
        <v>758</v>
      </c>
      <c r="B43" s="100" t="s">
        <v>759</v>
      </c>
      <c r="C43" s="100" t="s">
        <v>760</v>
      </c>
      <c r="D43" s="102" t="s">
        <v>5</v>
      </c>
      <c r="E43" s="102" t="s">
        <v>142</v>
      </c>
      <c r="F43" s="45" t="s">
        <v>130</v>
      </c>
      <c r="G43" s="47">
        <f>35/35*100</f>
        <v>100</v>
      </c>
    </row>
    <row r="44" spans="1:7" ht="40.5" customHeight="1">
      <c r="A44" s="101"/>
      <c r="B44" s="101"/>
      <c r="C44" s="101"/>
      <c r="D44" s="103"/>
      <c r="E44" s="103"/>
      <c r="F44" s="45" t="s">
        <v>131</v>
      </c>
      <c r="G44" s="47">
        <v>125</v>
      </c>
    </row>
    <row r="45" spans="1:7" ht="15.75" customHeight="1">
      <c r="A45" s="104" t="s">
        <v>119</v>
      </c>
      <c r="B45" s="104" t="s">
        <v>120</v>
      </c>
      <c r="C45" s="104" t="s">
        <v>65</v>
      </c>
      <c r="D45" s="104" t="s">
        <v>121</v>
      </c>
      <c r="E45" s="104" t="s">
        <v>122</v>
      </c>
      <c r="F45" s="45" t="s">
        <v>123</v>
      </c>
      <c r="G45" s="46">
        <v>98</v>
      </c>
    </row>
    <row r="46" spans="1:7" ht="15.75">
      <c r="A46" s="105"/>
      <c r="B46" s="105"/>
      <c r="C46" s="105"/>
      <c r="D46" s="105"/>
      <c r="E46" s="105"/>
      <c r="F46" s="45" t="s">
        <v>124</v>
      </c>
      <c r="G46" s="46">
        <v>98</v>
      </c>
    </row>
    <row r="47" spans="1:7" ht="15.75" customHeight="1">
      <c r="A47" s="100" t="s">
        <v>761</v>
      </c>
      <c r="B47" s="100" t="s">
        <v>762</v>
      </c>
      <c r="C47" s="100" t="s">
        <v>763</v>
      </c>
      <c r="D47" s="102" t="s">
        <v>5</v>
      </c>
      <c r="E47" s="102" t="s">
        <v>142</v>
      </c>
      <c r="F47" s="45" t="s">
        <v>130</v>
      </c>
      <c r="G47" s="47">
        <f>(8563.76/8724)*100</f>
        <v>98.16322787712059</v>
      </c>
    </row>
    <row r="48" spans="1:7" ht="40.5" customHeight="1">
      <c r="A48" s="101"/>
      <c r="B48" s="101"/>
      <c r="C48" s="101"/>
      <c r="D48" s="103"/>
      <c r="E48" s="103"/>
      <c r="F48" s="45" t="s">
        <v>131</v>
      </c>
      <c r="G48" s="47">
        <v>100.16655905828631</v>
      </c>
    </row>
    <row r="49" spans="1:7" ht="15.75" customHeight="1">
      <c r="A49" s="104" t="s">
        <v>119</v>
      </c>
      <c r="B49" s="104" t="s">
        <v>120</v>
      </c>
      <c r="C49" s="104" t="s">
        <v>65</v>
      </c>
      <c r="D49" s="104" t="s">
        <v>121</v>
      </c>
      <c r="E49" s="104" t="s">
        <v>122</v>
      </c>
      <c r="F49" s="45" t="s">
        <v>123</v>
      </c>
      <c r="G49" s="46">
        <v>73</v>
      </c>
    </row>
    <row r="50" spans="1:7" ht="15.75">
      <c r="A50" s="105"/>
      <c r="B50" s="105"/>
      <c r="C50" s="105"/>
      <c r="D50" s="105"/>
      <c r="E50" s="105"/>
      <c r="F50" s="45" t="s">
        <v>124</v>
      </c>
      <c r="G50" s="46">
        <v>73</v>
      </c>
    </row>
    <row r="51" spans="1:7" ht="15.75" customHeight="1">
      <c r="A51" s="100" t="s">
        <v>764</v>
      </c>
      <c r="B51" s="100" t="s">
        <v>765</v>
      </c>
      <c r="C51" s="100" t="s">
        <v>766</v>
      </c>
      <c r="D51" s="102" t="s">
        <v>5</v>
      </c>
      <c r="E51" s="102" t="s">
        <v>302</v>
      </c>
      <c r="F51" s="45" t="s">
        <v>130</v>
      </c>
      <c r="G51" s="47">
        <f>(1660/1837)*100</f>
        <v>90.36472509526402</v>
      </c>
    </row>
    <row r="52" spans="1:7" ht="40.5" customHeight="1">
      <c r="A52" s="101"/>
      <c r="B52" s="101"/>
      <c r="C52" s="101"/>
      <c r="D52" s="103"/>
      <c r="E52" s="103"/>
      <c r="F52" s="45" t="s">
        <v>131</v>
      </c>
      <c r="G52" s="47">
        <v>123.78729465104661</v>
      </c>
    </row>
    <row r="53" spans="1:7" ht="15.75">
      <c r="A53" s="96" t="s">
        <v>303</v>
      </c>
      <c r="B53" s="96"/>
      <c r="C53" s="96"/>
      <c r="D53" s="96"/>
      <c r="E53" s="96"/>
      <c r="F53" s="96"/>
      <c r="G53" s="96"/>
    </row>
    <row r="54" spans="1:7" ht="15.75">
      <c r="A54" s="190" t="s">
        <v>117</v>
      </c>
      <c r="B54" s="191"/>
      <c r="C54" s="191"/>
      <c r="D54" s="191"/>
      <c r="E54" s="192"/>
      <c r="F54" s="190" t="s">
        <v>118</v>
      </c>
      <c r="G54" s="192"/>
    </row>
    <row r="55" spans="1:7" ht="15.75" customHeight="1">
      <c r="A55" s="104" t="s">
        <v>119</v>
      </c>
      <c r="B55" s="104" t="s">
        <v>120</v>
      </c>
      <c r="C55" s="104" t="s">
        <v>65</v>
      </c>
      <c r="D55" s="104" t="s">
        <v>121</v>
      </c>
      <c r="E55" s="104" t="s">
        <v>122</v>
      </c>
      <c r="F55" s="45" t="s">
        <v>123</v>
      </c>
      <c r="G55" s="46">
        <v>80</v>
      </c>
    </row>
    <row r="56" spans="1:7" ht="15.75">
      <c r="A56" s="105"/>
      <c r="B56" s="105"/>
      <c r="C56" s="105"/>
      <c r="D56" s="105"/>
      <c r="E56" s="105"/>
      <c r="F56" s="45" t="s">
        <v>124</v>
      </c>
      <c r="G56" s="46">
        <v>80</v>
      </c>
    </row>
    <row r="57" spans="1:7" ht="15.75" customHeight="1">
      <c r="A57" s="100" t="s">
        <v>767</v>
      </c>
      <c r="B57" s="100" t="s">
        <v>768</v>
      </c>
      <c r="C57" s="100" t="s">
        <v>769</v>
      </c>
      <c r="D57" s="102" t="s">
        <v>5</v>
      </c>
      <c r="E57" s="102" t="s">
        <v>167</v>
      </c>
      <c r="F57" s="45" t="s">
        <v>130</v>
      </c>
      <c r="G57" s="47">
        <f>51/51*100</f>
        <v>100</v>
      </c>
    </row>
    <row r="58" spans="1:7" ht="40.5" customHeight="1">
      <c r="A58" s="101"/>
      <c r="B58" s="101"/>
      <c r="C58" s="101"/>
      <c r="D58" s="103"/>
      <c r="E58" s="103"/>
      <c r="F58" s="45" t="s">
        <v>131</v>
      </c>
      <c r="G58" s="47">
        <v>125</v>
      </c>
    </row>
    <row r="59" spans="1:7" ht="15.75" customHeight="1">
      <c r="A59" s="104" t="s">
        <v>119</v>
      </c>
      <c r="B59" s="104" t="s">
        <v>120</v>
      </c>
      <c r="C59" s="104" t="s">
        <v>65</v>
      </c>
      <c r="D59" s="104" t="s">
        <v>121</v>
      </c>
      <c r="E59" s="104" t="s">
        <v>122</v>
      </c>
      <c r="F59" s="45" t="s">
        <v>123</v>
      </c>
      <c r="G59" s="46">
        <v>85</v>
      </c>
    </row>
    <row r="60" spans="1:7" ht="15.75">
      <c r="A60" s="105"/>
      <c r="B60" s="105"/>
      <c r="C60" s="105"/>
      <c r="D60" s="105"/>
      <c r="E60" s="105"/>
      <c r="F60" s="45" t="s">
        <v>124</v>
      </c>
      <c r="G60" s="46">
        <v>85</v>
      </c>
    </row>
    <row r="61" spans="1:7" ht="15.75" customHeight="1">
      <c r="A61" s="100" t="s">
        <v>770</v>
      </c>
      <c r="B61" s="100" t="s">
        <v>771</v>
      </c>
      <c r="C61" s="100" t="s">
        <v>772</v>
      </c>
      <c r="D61" s="102" t="s">
        <v>5</v>
      </c>
      <c r="E61" s="102" t="s">
        <v>167</v>
      </c>
      <c r="F61" s="45" t="s">
        <v>130</v>
      </c>
      <c r="G61" s="47">
        <f>94/95*100</f>
        <v>98.94736842105263</v>
      </c>
    </row>
    <row r="62" spans="1:7" ht="40.5" customHeight="1">
      <c r="A62" s="101"/>
      <c r="B62" s="101"/>
      <c r="C62" s="101"/>
      <c r="D62" s="103"/>
      <c r="E62" s="103"/>
      <c r="F62" s="45" t="s">
        <v>131</v>
      </c>
      <c r="G62" s="47">
        <v>116.40866873065016</v>
      </c>
    </row>
    <row r="63" spans="1:7" ht="15.75" customHeight="1">
      <c r="A63" s="104" t="s">
        <v>119</v>
      </c>
      <c r="B63" s="104" t="s">
        <v>120</v>
      </c>
      <c r="C63" s="104" t="s">
        <v>65</v>
      </c>
      <c r="D63" s="104" t="s">
        <v>121</v>
      </c>
      <c r="E63" s="104" t="s">
        <v>122</v>
      </c>
      <c r="F63" s="45" t="s">
        <v>123</v>
      </c>
      <c r="G63" s="46">
        <v>80</v>
      </c>
    </row>
    <row r="64" spans="1:7" ht="15.75">
      <c r="A64" s="105"/>
      <c r="B64" s="105"/>
      <c r="C64" s="105"/>
      <c r="D64" s="105"/>
      <c r="E64" s="105"/>
      <c r="F64" s="45" t="s">
        <v>124</v>
      </c>
      <c r="G64" s="46">
        <v>80</v>
      </c>
    </row>
    <row r="65" spans="1:7" ht="15.75" customHeight="1">
      <c r="A65" s="100" t="s">
        <v>773</v>
      </c>
      <c r="B65" s="100" t="s">
        <v>774</v>
      </c>
      <c r="C65" s="100" t="s">
        <v>775</v>
      </c>
      <c r="D65" s="102" t="s">
        <v>5</v>
      </c>
      <c r="E65" s="102" t="s">
        <v>167</v>
      </c>
      <c r="F65" s="45" t="s">
        <v>130</v>
      </c>
      <c r="G65" s="47">
        <f>805/806*100</f>
        <v>99.87593052109182</v>
      </c>
    </row>
    <row r="66" spans="1:7" ht="40.5" customHeight="1">
      <c r="A66" s="101"/>
      <c r="B66" s="101"/>
      <c r="C66" s="101"/>
      <c r="D66" s="103"/>
      <c r="E66" s="103"/>
      <c r="F66" s="45" t="s">
        <v>131</v>
      </c>
      <c r="G66" s="47">
        <v>124.84491315136476</v>
      </c>
    </row>
    <row r="67" spans="1:7" ht="15.75" customHeight="1">
      <c r="A67" s="104" t="s">
        <v>119</v>
      </c>
      <c r="B67" s="104" t="s">
        <v>120</v>
      </c>
      <c r="C67" s="104" t="s">
        <v>65</v>
      </c>
      <c r="D67" s="104" t="s">
        <v>121</v>
      </c>
      <c r="E67" s="104" t="s">
        <v>122</v>
      </c>
      <c r="F67" s="45" t="s">
        <v>123</v>
      </c>
      <c r="G67" s="46">
        <v>85</v>
      </c>
    </row>
    <row r="68" spans="1:7" ht="15.75">
      <c r="A68" s="105"/>
      <c r="B68" s="105"/>
      <c r="C68" s="105"/>
      <c r="D68" s="105"/>
      <c r="E68" s="105"/>
      <c r="F68" s="45" t="s">
        <v>124</v>
      </c>
      <c r="G68" s="46">
        <v>85</v>
      </c>
    </row>
    <row r="69" spans="1:7" ht="15.75" customHeight="1">
      <c r="A69" s="100" t="s">
        <v>776</v>
      </c>
      <c r="B69" s="100" t="s">
        <v>777</v>
      </c>
      <c r="C69" s="100" t="s">
        <v>778</v>
      </c>
      <c r="D69" s="102" t="s">
        <v>5</v>
      </c>
      <c r="E69" s="102" t="s">
        <v>167</v>
      </c>
      <c r="F69" s="45" t="s">
        <v>130</v>
      </c>
      <c r="G69" s="47">
        <f>5053/5053*100</f>
        <v>100</v>
      </c>
    </row>
    <row r="70" spans="1:7" ht="40.5" customHeight="1">
      <c r="A70" s="101"/>
      <c r="B70" s="101"/>
      <c r="C70" s="101"/>
      <c r="D70" s="103"/>
      <c r="E70" s="103"/>
      <c r="F70" s="45" t="s">
        <v>131</v>
      </c>
      <c r="G70" s="47">
        <v>117.6470588235294</v>
      </c>
    </row>
    <row r="71" spans="1:7" ht="15.75" customHeight="1">
      <c r="A71" s="104" t="s">
        <v>119</v>
      </c>
      <c r="B71" s="104" t="s">
        <v>120</v>
      </c>
      <c r="C71" s="104" t="s">
        <v>65</v>
      </c>
      <c r="D71" s="104" t="s">
        <v>121</v>
      </c>
      <c r="E71" s="104" t="s">
        <v>122</v>
      </c>
      <c r="F71" s="45" t="s">
        <v>123</v>
      </c>
      <c r="G71" s="46">
        <v>90</v>
      </c>
    </row>
    <row r="72" spans="1:7" ht="15.75">
      <c r="A72" s="105"/>
      <c r="B72" s="105"/>
      <c r="C72" s="105"/>
      <c r="D72" s="105"/>
      <c r="E72" s="105"/>
      <c r="F72" s="45" t="s">
        <v>124</v>
      </c>
      <c r="G72" s="46">
        <v>90</v>
      </c>
    </row>
    <row r="73" spans="1:7" ht="15.75" customHeight="1">
      <c r="A73" s="100" t="s">
        <v>779</v>
      </c>
      <c r="B73" s="100" t="s">
        <v>780</v>
      </c>
      <c r="C73" s="100" t="s">
        <v>781</v>
      </c>
      <c r="D73" s="102" t="s">
        <v>5</v>
      </c>
      <c r="E73" s="102" t="s">
        <v>167</v>
      </c>
      <c r="F73" s="45" t="s">
        <v>130</v>
      </c>
      <c r="G73" s="47">
        <f>((100+100+90.91+100)/400)*100</f>
        <v>97.72749999999999</v>
      </c>
    </row>
    <row r="74" spans="1:7" ht="40.5" customHeight="1">
      <c r="A74" s="101"/>
      <c r="B74" s="101"/>
      <c r="C74" s="101"/>
      <c r="D74" s="103"/>
      <c r="E74" s="103"/>
      <c r="F74" s="45" t="s">
        <v>131</v>
      </c>
      <c r="G74" s="47">
        <v>108.58611111111111</v>
      </c>
    </row>
    <row r="75" spans="1:7" ht="15.75" customHeight="1">
      <c r="A75" s="104" t="s">
        <v>119</v>
      </c>
      <c r="B75" s="104" t="s">
        <v>120</v>
      </c>
      <c r="C75" s="104" t="s">
        <v>65</v>
      </c>
      <c r="D75" s="104" t="s">
        <v>121</v>
      </c>
      <c r="E75" s="104" t="s">
        <v>122</v>
      </c>
      <c r="F75" s="45" t="s">
        <v>123</v>
      </c>
      <c r="G75" s="46">
        <v>86</v>
      </c>
    </row>
    <row r="76" spans="1:7" ht="15.75">
      <c r="A76" s="105"/>
      <c r="B76" s="105"/>
      <c r="C76" s="105"/>
      <c r="D76" s="105"/>
      <c r="E76" s="105"/>
      <c r="F76" s="45" t="s">
        <v>124</v>
      </c>
      <c r="G76" s="46">
        <v>86</v>
      </c>
    </row>
    <row r="77" spans="1:7" ht="15.75" customHeight="1">
      <c r="A77" s="100" t="s">
        <v>782</v>
      </c>
      <c r="B77" s="100" t="s">
        <v>783</v>
      </c>
      <c r="C77" s="100" t="s">
        <v>784</v>
      </c>
      <c r="D77" s="102" t="s">
        <v>5</v>
      </c>
      <c r="E77" s="102" t="s">
        <v>167</v>
      </c>
      <c r="F77" s="45" t="s">
        <v>130</v>
      </c>
      <c r="G77" s="47">
        <f>((100+100+100+100)/400)*100</f>
        <v>100</v>
      </c>
    </row>
    <row r="78" spans="1:7" ht="40.5" customHeight="1">
      <c r="A78" s="101"/>
      <c r="B78" s="101"/>
      <c r="C78" s="101"/>
      <c r="D78" s="103"/>
      <c r="E78" s="103"/>
      <c r="F78" s="45" t="s">
        <v>131</v>
      </c>
      <c r="G78" s="47">
        <v>116.27906976744185</v>
      </c>
    </row>
    <row r="79" spans="1:7" ht="15.75" customHeight="1">
      <c r="A79" s="104" t="s">
        <v>119</v>
      </c>
      <c r="B79" s="104" t="s">
        <v>120</v>
      </c>
      <c r="C79" s="104" t="s">
        <v>65</v>
      </c>
      <c r="D79" s="104" t="s">
        <v>121</v>
      </c>
      <c r="E79" s="104" t="s">
        <v>122</v>
      </c>
      <c r="F79" s="45" t="s">
        <v>123</v>
      </c>
      <c r="G79" s="46">
        <v>86</v>
      </c>
    </row>
    <row r="80" spans="1:7" ht="15.75">
      <c r="A80" s="105"/>
      <c r="B80" s="105"/>
      <c r="C80" s="105"/>
      <c r="D80" s="105"/>
      <c r="E80" s="105"/>
      <c r="F80" s="45" t="s">
        <v>124</v>
      </c>
      <c r="G80" s="46">
        <v>86</v>
      </c>
    </row>
    <row r="81" spans="1:7" ht="15.75" customHeight="1">
      <c r="A81" s="100" t="s">
        <v>785</v>
      </c>
      <c r="B81" s="100" t="s">
        <v>786</v>
      </c>
      <c r="C81" s="100" t="s">
        <v>787</v>
      </c>
      <c r="D81" s="102" t="s">
        <v>5</v>
      </c>
      <c r="E81" s="102" t="s">
        <v>788</v>
      </c>
      <c r="F81" s="45" t="s">
        <v>130</v>
      </c>
      <c r="G81" s="47">
        <f>((100+99.59+99.75+99.82)/400)*100</f>
        <v>99.79</v>
      </c>
    </row>
    <row r="82" spans="1:7" ht="40.5" customHeight="1">
      <c r="A82" s="101"/>
      <c r="B82" s="101"/>
      <c r="C82" s="101"/>
      <c r="D82" s="103"/>
      <c r="E82" s="103"/>
      <c r="F82" s="45" t="s">
        <v>131</v>
      </c>
      <c r="G82" s="47">
        <v>116.03488372093024</v>
      </c>
    </row>
    <row r="83" spans="1:7" ht="15.75" customHeight="1">
      <c r="A83" s="104" t="s">
        <v>119</v>
      </c>
      <c r="B83" s="104" t="s">
        <v>120</v>
      </c>
      <c r="C83" s="104" t="s">
        <v>65</v>
      </c>
      <c r="D83" s="104" t="s">
        <v>121</v>
      </c>
      <c r="E83" s="104" t="s">
        <v>122</v>
      </c>
      <c r="F83" s="45" t="s">
        <v>123</v>
      </c>
      <c r="G83" s="46">
        <v>90</v>
      </c>
    </row>
    <row r="84" spans="1:7" ht="15.75">
      <c r="A84" s="105"/>
      <c r="B84" s="105"/>
      <c r="C84" s="105"/>
      <c r="D84" s="105"/>
      <c r="E84" s="105"/>
      <c r="F84" s="45" t="s">
        <v>124</v>
      </c>
      <c r="G84" s="46">
        <v>90</v>
      </c>
    </row>
    <row r="85" spans="1:7" ht="15.75" customHeight="1">
      <c r="A85" s="100" t="s">
        <v>789</v>
      </c>
      <c r="B85" s="100" t="s">
        <v>790</v>
      </c>
      <c r="C85" s="100" t="s">
        <v>791</v>
      </c>
      <c r="D85" s="102" t="s">
        <v>5</v>
      </c>
      <c r="E85" s="102" t="s">
        <v>167</v>
      </c>
      <c r="F85" s="45" t="s">
        <v>130</v>
      </c>
      <c r="G85" s="47">
        <f>((100+100+100+100)/400)*100</f>
        <v>100</v>
      </c>
    </row>
    <row r="86" spans="1:7" ht="40.5" customHeight="1">
      <c r="A86" s="101"/>
      <c r="B86" s="101"/>
      <c r="C86" s="101"/>
      <c r="D86" s="103"/>
      <c r="E86" s="103"/>
      <c r="F86" s="45" t="s">
        <v>131</v>
      </c>
      <c r="G86" s="47">
        <v>111.11111111111111</v>
      </c>
    </row>
    <row r="87" spans="1:7" ht="15.75" customHeight="1">
      <c r="A87" s="104" t="s">
        <v>119</v>
      </c>
      <c r="B87" s="104" t="s">
        <v>120</v>
      </c>
      <c r="C87" s="104" t="s">
        <v>65</v>
      </c>
      <c r="D87" s="104" t="s">
        <v>121</v>
      </c>
      <c r="E87" s="104" t="s">
        <v>122</v>
      </c>
      <c r="F87" s="45" t="s">
        <v>123</v>
      </c>
      <c r="G87" s="46">
        <v>90</v>
      </c>
    </row>
    <row r="88" spans="1:7" ht="15.75">
      <c r="A88" s="105"/>
      <c r="B88" s="105"/>
      <c r="C88" s="105"/>
      <c r="D88" s="105"/>
      <c r="E88" s="105"/>
      <c r="F88" s="45" t="s">
        <v>124</v>
      </c>
      <c r="G88" s="46">
        <v>90</v>
      </c>
    </row>
    <row r="89" spans="1:7" ht="15.75" customHeight="1">
      <c r="A89" s="100" t="s">
        <v>792</v>
      </c>
      <c r="B89" s="100" t="s">
        <v>793</v>
      </c>
      <c r="C89" s="100" t="s">
        <v>791</v>
      </c>
      <c r="D89" s="102" t="s">
        <v>5</v>
      </c>
      <c r="E89" s="102" t="s">
        <v>167</v>
      </c>
      <c r="F89" s="45" t="s">
        <v>130</v>
      </c>
      <c r="G89" s="47">
        <f>((100+100+100+100)/400)*100</f>
        <v>100</v>
      </c>
    </row>
    <row r="90" spans="1:7" ht="40.5" customHeight="1">
      <c r="A90" s="101"/>
      <c r="B90" s="101"/>
      <c r="C90" s="101"/>
      <c r="D90" s="103"/>
      <c r="E90" s="103"/>
      <c r="F90" s="45" t="s">
        <v>131</v>
      </c>
      <c r="G90" s="47">
        <v>111.11111111111111</v>
      </c>
    </row>
    <row r="91" spans="1:7" ht="15.75" customHeight="1">
      <c r="A91" s="104" t="s">
        <v>119</v>
      </c>
      <c r="B91" s="104" t="s">
        <v>120</v>
      </c>
      <c r="C91" s="104" t="s">
        <v>65</v>
      </c>
      <c r="D91" s="104" t="s">
        <v>121</v>
      </c>
      <c r="E91" s="104" t="s">
        <v>122</v>
      </c>
      <c r="F91" s="45" t="s">
        <v>123</v>
      </c>
      <c r="G91" s="46">
        <v>85</v>
      </c>
    </row>
    <row r="92" spans="1:7" ht="15.75">
      <c r="A92" s="105"/>
      <c r="B92" s="105"/>
      <c r="C92" s="105"/>
      <c r="D92" s="105"/>
      <c r="E92" s="105"/>
      <c r="F92" s="45" t="s">
        <v>124</v>
      </c>
      <c r="G92" s="46">
        <v>85</v>
      </c>
    </row>
    <row r="93" spans="1:7" ht="15.75" customHeight="1">
      <c r="A93" s="100" t="s">
        <v>794</v>
      </c>
      <c r="B93" s="100" t="s">
        <v>795</v>
      </c>
      <c r="C93" s="100" t="s">
        <v>772</v>
      </c>
      <c r="D93" s="102" t="s">
        <v>5</v>
      </c>
      <c r="E93" s="102" t="s">
        <v>167</v>
      </c>
      <c r="F93" s="45" t="s">
        <v>130</v>
      </c>
      <c r="G93" s="47">
        <f>805/806*100</f>
        <v>99.87593052109182</v>
      </c>
    </row>
    <row r="94" spans="1:7" ht="40.5" customHeight="1">
      <c r="A94" s="101"/>
      <c r="B94" s="101"/>
      <c r="C94" s="101"/>
      <c r="D94" s="103"/>
      <c r="E94" s="103"/>
      <c r="F94" s="45" t="s">
        <v>131</v>
      </c>
      <c r="G94" s="47">
        <v>117.50109473069625</v>
      </c>
    </row>
    <row r="95" spans="1:7" ht="15.75" customHeight="1">
      <c r="A95" s="104" t="s">
        <v>119</v>
      </c>
      <c r="B95" s="104" t="s">
        <v>120</v>
      </c>
      <c r="C95" s="104" t="s">
        <v>65</v>
      </c>
      <c r="D95" s="104" t="s">
        <v>121</v>
      </c>
      <c r="E95" s="104" t="s">
        <v>122</v>
      </c>
      <c r="F95" s="45" t="s">
        <v>123</v>
      </c>
      <c r="G95" s="46">
        <v>85</v>
      </c>
    </row>
    <row r="96" spans="1:7" ht="15.75">
      <c r="A96" s="105"/>
      <c r="B96" s="105"/>
      <c r="C96" s="105"/>
      <c r="D96" s="105"/>
      <c r="E96" s="105"/>
      <c r="F96" s="45" t="s">
        <v>124</v>
      </c>
      <c r="G96" s="46">
        <v>85</v>
      </c>
    </row>
    <row r="97" spans="1:7" ht="15.75" customHeight="1">
      <c r="A97" s="100" t="s">
        <v>776</v>
      </c>
      <c r="B97" s="100" t="s">
        <v>796</v>
      </c>
      <c r="C97" s="100" t="s">
        <v>778</v>
      </c>
      <c r="D97" s="102" t="s">
        <v>5</v>
      </c>
      <c r="E97" s="102" t="s">
        <v>167</v>
      </c>
      <c r="F97" s="45" t="s">
        <v>130</v>
      </c>
      <c r="G97" s="47">
        <f>5053/5053*100</f>
        <v>100</v>
      </c>
    </row>
    <row r="98" spans="1:7" ht="40.5" customHeight="1">
      <c r="A98" s="101"/>
      <c r="B98" s="101"/>
      <c r="C98" s="101"/>
      <c r="D98" s="103"/>
      <c r="E98" s="103"/>
      <c r="F98" s="45" t="s">
        <v>131</v>
      </c>
      <c r="G98" s="47">
        <v>117.6470588235294</v>
      </c>
    </row>
    <row r="99" spans="1:7" ht="15.75" customHeight="1">
      <c r="A99" s="104" t="s">
        <v>119</v>
      </c>
      <c r="B99" s="104" t="s">
        <v>120</v>
      </c>
      <c r="C99" s="104" t="s">
        <v>65</v>
      </c>
      <c r="D99" s="104" t="s">
        <v>121</v>
      </c>
      <c r="E99" s="104" t="s">
        <v>122</v>
      </c>
      <c r="F99" s="45" t="s">
        <v>123</v>
      </c>
      <c r="G99" s="46">
        <v>98</v>
      </c>
    </row>
    <row r="100" spans="1:7" ht="15.75">
      <c r="A100" s="105"/>
      <c r="B100" s="105"/>
      <c r="C100" s="105"/>
      <c r="D100" s="105"/>
      <c r="E100" s="105"/>
      <c r="F100" s="45" t="s">
        <v>124</v>
      </c>
      <c r="G100" s="46">
        <v>98</v>
      </c>
    </row>
    <row r="101" spans="1:7" ht="15.75" customHeight="1">
      <c r="A101" s="100" t="s">
        <v>761</v>
      </c>
      <c r="B101" s="100" t="s">
        <v>797</v>
      </c>
      <c r="C101" s="100" t="s">
        <v>763</v>
      </c>
      <c r="D101" s="102" t="s">
        <v>5</v>
      </c>
      <c r="E101" s="102" t="s">
        <v>142</v>
      </c>
      <c r="F101" s="45" t="s">
        <v>130</v>
      </c>
      <c r="G101" s="47">
        <f>((98.13+98.19)/200)*100</f>
        <v>98.16</v>
      </c>
    </row>
    <row r="102" spans="1:7" ht="27">
      <c r="A102" s="101"/>
      <c r="B102" s="101"/>
      <c r="C102" s="101"/>
      <c r="D102" s="103"/>
      <c r="E102" s="103"/>
      <c r="F102" s="45" t="s">
        <v>131</v>
      </c>
      <c r="G102" s="47">
        <v>100.16326530612245</v>
      </c>
    </row>
    <row r="103" spans="1:7" ht="15.75">
      <c r="A103" s="96" t="s">
        <v>192</v>
      </c>
      <c r="B103" s="96"/>
      <c r="C103" s="96"/>
      <c r="D103" s="96"/>
      <c r="E103" s="96"/>
      <c r="F103" s="96"/>
      <c r="G103" s="96"/>
    </row>
    <row r="104" spans="1:7" ht="15.75">
      <c r="A104" s="99" t="str">
        <f>A31</f>
        <v>Índice de calidad en la entrega de soluciones tecnológicas innovadoras, accesibles y seguras para el ejercicio de los derechos de acceso a la Información y protección de datos personales y la promoción de una adecuada gestión documental</v>
      </c>
      <c r="B104" s="99"/>
      <c r="C104" s="99"/>
      <c r="D104" s="99"/>
      <c r="E104" s="99"/>
      <c r="F104" s="99"/>
      <c r="G104" s="99"/>
    </row>
    <row r="105" spans="1:7" ht="88.5" customHeight="1">
      <c r="A105" s="48" t="s">
        <v>193</v>
      </c>
      <c r="B105" s="94" t="s">
        <v>798</v>
      </c>
      <c r="C105" s="94"/>
      <c r="D105" s="94"/>
      <c r="E105" s="94"/>
      <c r="F105" s="94"/>
      <c r="G105" s="94"/>
    </row>
    <row r="106" spans="1:7" ht="31.5" customHeight="1">
      <c r="A106" s="49" t="s">
        <v>6</v>
      </c>
      <c r="B106" s="94" t="s">
        <v>799</v>
      </c>
      <c r="C106" s="94"/>
      <c r="D106" s="94"/>
      <c r="E106" s="94"/>
      <c r="F106" s="94"/>
      <c r="G106" s="94"/>
    </row>
    <row r="107" spans="1:7" ht="15.75">
      <c r="A107" s="49" t="s">
        <v>195</v>
      </c>
      <c r="B107" s="95" t="s">
        <v>800</v>
      </c>
      <c r="C107" s="95"/>
      <c r="D107" s="95"/>
      <c r="E107" s="95"/>
      <c r="F107" s="95"/>
      <c r="G107" s="95"/>
    </row>
    <row r="108" spans="1:7" ht="15.75">
      <c r="A108" s="99" t="str">
        <f>A37</f>
        <v>Índice de efectividad en la entrega de herramientas y servicios para el Sistema Nacional de Transparencia y de Datos Personales, así como los procesos sustantivos internos</v>
      </c>
      <c r="B108" s="99"/>
      <c r="C108" s="99"/>
      <c r="D108" s="99"/>
      <c r="E108" s="99"/>
      <c r="F108" s="99"/>
      <c r="G108" s="99"/>
    </row>
    <row r="109" spans="1:7" ht="102.75" customHeight="1">
      <c r="A109" s="49" t="s">
        <v>193</v>
      </c>
      <c r="B109" s="94" t="s">
        <v>801</v>
      </c>
      <c r="C109" s="94"/>
      <c r="D109" s="94"/>
      <c r="E109" s="94"/>
      <c r="F109" s="94"/>
      <c r="G109" s="94"/>
    </row>
    <row r="110" spans="1:7" ht="15.75">
      <c r="A110" s="49" t="s">
        <v>6</v>
      </c>
      <c r="B110" s="94" t="s">
        <v>802</v>
      </c>
      <c r="C110" s="94"/>
      <c r="D110" s="94"/>
      <c r="E110" s="94"/>
      <c r="F110" s="94"/>
      <c r="G110" s="94"/>
    </row>
    <row r="111" spans="1:7" ht="15.75">
      <c r="A111" s="49" t="s">
        <v>195</v>
      </c>
      <c r="B111" s="95" t="s">
        <v>800</v>
      </c>
      <c r="C111" s="95"/>
      <c r="D111" s="95"/>
      <c r="E111" s="95"/>
      <c r="F111" s="95"/>
      <c r="G111" s="95"/>
    </row>
    <row r="112" spans="1:7" ht="15.75">
      <c r="A112" s="99" t="str">
        <f>A43</f>
        <v>Porcentaje de nuevos sistemas para el Instituto implementados </v>
      </c>
      <c r="B112" s="99"/>
      <c r="C112" s="99"/>
      <c r="D112" s="99"/>
      <c r="E112" s="99"/>
      <c r="F112" s="99"/>
      <c r="G112" s="99"/>
    </row>
    <row r="113" spans="1:7" ht="15.75">
      <c r="A113" s="49" t="s">
        <v>193</v>
      </c>
      <c r="B113" s="94" t="s">
        <v>803</v>
      </c>
      <c r="C113" s="94"/>
      <c r="D113" s="94"/>
      <c r="E113" s="94"/>
      <c r="F113" s="94"/>
      <c r="G113" s="94"/>
    </row>
    <row r="114" spans="1:7" ht="15.75">
      <c r="A114" s="49" t="s">
        <v>6</v>
      </c>
      <c r="B114" s="94" t="s">
        <v>827</v>
      </c>
      <c r="C114" s="94"/>
      <c r="D114" s="94"/>
      <c r="E114" s="94"/>
      <c r="F114" s="94"/>
      <c r="G114" s="94"/>
    </row>
    <row r="115" spans="1:7" ht="15.75">
      <c r="A115" s="49" t="s">
        <v>195</v>
      </c>
      <c r="B115" s="95" t="s">
        <v>800</v>
      </c>
      <c r="C115" s="95"/>
      <c r="D115" s="95"/>
      <c r="E115" s="95"/>
      <c r="F115" s="95"/>
      <c r="G115" s="95"/>
    </row>
    <row r="116" spans="1:7" ht="15.75">
      <c r="A116" s="99" t="str">
        <f>A47</f>
        <v>Porcentaje de disponibilidad de los  servicios del Centro de Procesamiento de Datos (CPD)</v>
      </c>
      <c r="B116" s="99"/>
      <c r="C116" s="99"/>
      <c r="D116" s="99"/>
      <c r="E116" s="99"/>
      <c r="F116" s="99"/>
      <c r="G116" s="99"/>
    </row>
    <row r="117" spans="1:7" ht="15.75">
      <c r="A117" s="49" t="s">
        <v>193</v>
      </c>
      <c r="B117" s="94" t="s">
        <v>804</v>
      </c>
      <c r="C117" s="94"/>
      <c r="D117" s="94"/>
      <c r="E117" s="94"/>
      <c r="F117" s="94"/>
      <c r="G117" s="94"/>
    </row>
    <row r="118" spans="1:7" ht="15.75">
      <c r="A118" s="49" t="s">
        <v>6</v>
      </c>
      <c r="B118" s="94" t="s">
        <v>805</v>
      </c>
      <c r="C118" s="94"/>
      <c r="D118" s="94"/>
      <c r="E118" s="94"/>
      <c r="F118" s="94"/>
      <c r="G118" s="94"/>
    </row>
    <row r="119" spans="1:7" ht="15.75">
      <c r="A119" s="49" t="s">
        <v>195</v>
      </c>
      <c r="B119" s="95"/>
      <c r="C119" s="95"/>
      <c r="D119" s="95"/>
      <c r="E119" s="95"/>
      <c r="F119" s="95"/>
      <c r="G119" s="95"/>
    </row>
    <row r="120" spans="1:7" ht="15.75">
      <c r="A120" s="99" t="str">
        <f>A51</f>
        <v>Porcentaje anual de satisfacción de usuarios </v>
      </c>
      <c r="B120" s="99"/>
      <c r="C120" s="99"/>
      <c r="D120" s="99"/>
      <c r="E120" s="99"/>
      <c r="F120" s="99"/>
      <c r="G120" s="99"/>
    </row>
    <row r="121" spans="1:7" ht="15.75">
      <c r="A121" s="49" t="s">
        <v>193</v>
      </c>
      <c r="B121" s="94" t="s">
        <v>806</v>
      </c>
      <c r="C121" s="94"/>
      <c r="D121" s="94"/>
      <c r="E121" s="94"/>
      <c r="F121" s="94"/>
      <c r="G121" s="94"/>
    </row>
    <row r="122" spans="1:7" ht="15.75">
      <c r="A122" s="49" t="s">
        <v>6</v>
      </c>
      <c r="B122" s="94" t="s">
        <v>828</v>
      </c>
      <c r="C122" s="94"/>
      <c r="D122" s="94"/>
      <c r="E122" s="94"/>
      <c r="F122" s="94"/>
      <c r="G122" s="94"/>
    </row>
    <row r="123" spans="1:7" ht="15.75">
      <c r="A123" s="49" t="s">
        <v>195</v>
      </c>
      <c r="B123" s="95"/>
      <c r="C123" s="95"/>
      <c r="D123" s="95"/>
      <c r="E123" s="95"/>
      <c r="F123" s="95"/>
      <c r="G123" s="95"/>
    </row>
    <row r="124" spans="1:7" ht="15.75">
      <c r="A124" s="99" t="str">
        <f>A57</f>
        <v>Porcentaje de atención de requerimientos de nueva funcionalidad para la Plataforma Nacional de Transparencia</v>
      </c>
      <c r="B124" s="99"/>
      <c r="C124" s="99"/>
      <c r="D124" s="99"/>
      <c r="E124" s="99"/>
      <c r="F124" s="99"/>
      <c r="G124" s="99"/>
    </row>
    <row r="125" spans="1:7" ht="15.75">
      <c r="A125" s="49" t="s">
        <v>193</v>
      </c>
      <c r="B125" s="94" t="s">
        <v>807</v>
      </c>
      <c r="C125" s="94"/>
      <c r="D125" s="94"/>
      <c r="E125" s="94"/>
      <c r="F125" s="94"/>
      <c r="G125" s="94"/>
    </row>
    <row r="126" spans="1:7" ht="15.75">
      <c r="A126" s="49" t="s">
        <v>6</v>
      </c>
      <c r="B126" s="94" t="s">
        <v>808</v>
      </c>
      <c r="C126" s="94"/>
      <c r="D126" s="94"/>
      <c r="E126" s="94"/>
      <c r="F126" s="94"/>
      <c r="G126" s="94"/>
    </row>
    <row r="127" spans="1:7" ht="15.75">
      <c r="A127" s="49" t="s">
        <v>195</v>
      </c>
      <c r="B127" s="95"/>
      <c r="C127" s="95"/>
      <c r="D127" s="95"/>
      <c r="E127" s="95"/>
      <c r="F127" s="95"/>
      <c r="G127" s="95"/>
    </row>
    <row r="128" spans="1:7" ht="15.75">
      <c r="A128" s="99" t="str">
        <f>A61</f>
        <v>Porcentaje de atención a los requerimientos de los sistemas del instituto implementados</v>
      </c>
      <c r="B128" s="99"/>
      <c r="C128" s="99"/>
      <c r="D128" s="99"/>
      <c r="E128" s="99"/>
      <c r="F128" s="99"/>
      <c r="G128" s="99"/>
    </row>
    <row r="129" spans="1:7" ht="15.75">
      <c r="A129" s="49" t="s">
        <v>193</v>
      </c>
      <c r="B129" s="94" t="s">
        <v>809</v>
      </c>
      <c r="C129" s="94"/>
      <c r="D129" s="94"/>
      <c r="E129" s="94"/>
      <c r="F129" s="94"/>
      <c r="G129" s="94"/>
    </row>
    <row r="130" spans="1:7" ht="15.75">
      <c r="A130" s="49" t="s">
        <v>6</v>
      </c>
      <c r="B130" s="94" t="s">
        <v>810</v>
      </c>
      <c r="C130" s="94"/>
      <c r="D130" s="94"/>
      <c r="E130" s="94"/>
      <c r="F130" s="94"/>
      <c r="G130" s="94"/>
    </row>
    <row r="131" spans="1:7" ht="15.75">
      <c r="A131" s="49" t="s">
        <v>195</v>
      </c>
      <c r="B131" s="95"/>
      <c r="C131" s="95"/>
      <c r="D131" s="95"/>
      <c r="E131" s="95"/>
      <c r="F131" s="95"/>
      <c r="G131" s="95"/>
    </row>
    <row r="132" spans="1:7" ht="15.75">
      <c r="A132" s="99" t="str">
        <f>A65</f>
        <v>Porcentaje de solicitudes de soporte atendidos para la Plataforma Nacional de Transparencia</v>
      </c>
      <c r="B132" s="99"/>
      <c r="C132" s="99"/>
      <c r="D132" s="99"/>
      <c r="E132" s="99"/>
      <c r="F132" s="99"/>
      <c r="G132" s="99"/>
    </row>
    <row r="133" spans="1:7" ht="15.75">
      <c r="A133" s="49" t="s">
        <v>193</v>
      </c>
      <c r="B133" s="94" t="s">
        <v>811</v>
      </c>
      <c r="C133" s="94"/>
      <c r="D133" s="94"/>
      <c r="E133" s="94"/>
      <c r="F133" s="94"/>
      <c r="G133" s="94"/>
    </row>
    <row r="134" spans="1:7" ht="15.75">
      <c r="A134" s="49" t="s">
        <v>6</v>
      </c>
      <c r="B134" s="94" t="s">
        <v>812</v>
      </c>
      <c r="C134" s="94"/>
      <c r="D134" s="94"/>
      <c r="E134" s="94"/>
      <c r="F134" s="94"/>
      <c r="G134" s="94"/>
    </row>
    <row r="135" spans="1:7" ht="15.75">
      <c r="A135" s="49" t="s">
        <v>195</v>
      </c>
      <c r="B135" s="95"/>
      <c r="C135" s="95"/>
      <c r="D135" s="95"/>
      <c r="E135" s="95"/>
      <c r="F135" s="95"/>
      <c r="G135" s="95"/>
    </row>
    <row r="136" spans="1:7" ht="15.75">
      <c r="A136" s="99" t="str">
        <f>A69</f>
        <v>Porcentaje de solicitudes de soporte a aplicativos atendidos</v>
      </c>
      <c r="B136" s="99"/>
      <c r="C136" s="99"/>
      <c r="D136" s="99"/>
      <c r="E136" s="99"/>
      <c r="F136" s="99"/>
      <c r="G136" s="99"/>
    </row>
    <row r="137" spans="1:7" ht="15.75">
      <c r="A137" s="49" t="s">
        <v>193</v>
      </c>
      <c r="B137" s="94" t="s">
        <v>813</v>
      </c>
      <c r="C137" s="94"/>
      <c r="D137" s="94"/>
      <c r="E137" s="94"/>
      <c r="F137" s="94"/>
      <c r="G137" s="94"/>
    </row>
    <row r="138" spans="1:7" ht="15.75">
      <c r="A138" s="49" t="s">
        <v>6</v>
      </c>
      <c r="B138" s="94" t="s">
        <v>814</v>
      </c>
      <c r="C138" s="94"/>
      <c r="D138" s="94"/>
      <c r="E138" s="94"/>
      <c r="F138" s="94"/>
      <c r="G138" s="94"/>
    </row>
    <row r="139" spans="1:7" ht="15.75">
      <c r="A139" s="49" t="s">
        <v>195</v>
      </c>
      <c r="B139" s="95"/>
      <c r="C139" s="95"/>
      <c r="D139" s="95"/>
      <c r="E139" s="95"/>
      <c r="F139" s="95"/>
      <c r="G139" s="95"/>
    </row>
    <row r="140" spans="1:7" ht="15.75">
      <c r="A140" s="99" t="str">
        <f>A73</f>
        <v>Porcentaje de Publicaciones</v>
      </c>
      <c r="B140" s="99"/>
      <c r="C140" s="99"/>
      <c r="D140" s="99"/>
      <c r="E140" s="99"/>
      <c r="F140" s="99"/>
      <c r="G140" s="99"/>
    </row>
    <row r="141" spans="1:7" ht="31.5" customHeight="1">
      <c r="A141" s="49" t="s">
        <v>193</v>
      </c>
      <c r="B141" s="94" t="s">
        <v>815</v>
      </c>
      <c r="C141" s="94"/>
      <c r="D141" s="94"/>
      <c r="E141" s="94"/>
      <c r="F141" s="94"/>
      <c r="G141" s="94"/>
    </row>
    <row r="142" spans="1:7" ht="15.75">
      <c r="A142" s="49" t="s">
        <v>6</v>
      </c>
      <c r="B142" s="94" t="s">
        <v>816</v>
      </c>
      <c r="C142" s="94"/>
      <c r="D142" s="94"/>
      <c r="E142" s="94"/>
      <c r="F142" s="94"/>
      <c r="G142" s="94"/>
    </row>
    <row r="143" spans="1:7" ht="15.75">
      <c r="A143" s="49" t="s">
        <v>195</v>
      </c>
      <c r="B143" s="95"/>
      <c r="C143" s="95"/>
      <c r="D143" s="95"/>
      <c r="E143" s="95"/>
      <c r="F143" s="95"/>
      <c r="G143" s="95"/>
    </row>
    <row r="144" spans="1:7" ht="15.75">
      <c r="A144" s="99" t="str">
        <f>A77</f>
        <v>Porcentaje de usuarios con servicios de TIC completos</v>
      </c>
      <c r="B144" s="99"/>
      <c r="C144" s="99"/>
      <c r="D144" s="99"/>
      <c r="E144" s="99"/>
      <c r="F144" s="99"/>
      <c r="G144" s="99"/>
    </row>
    <row r="145" spans="1:7" ht="31.5" customHeight="1">
      <c r="A145" s="49" t="s">
        <v>193</v>
      </c>
      <c r="B145" s="94" t="s">
        <v>817</v>
      </c>
      <c r="C145" s="94"/>
      <c r="D145" s="94"/>
      <c r="E145" s="94"/>
      <c r="F145" s="94"/>
      <c r="G145" s="94"/>
    </row>
    <row r="146" spans="1:7" ht="15.75">
      <c r="A146" s="49" t="s">
        <v>6</v>
      </c>
      <c r="B146" s="94" t="s">
        <v>818</v>
      </c>
      <c r="C146" s="94"/>
      <c r="D146" s="94"/>
      <c r="E146" s="94"/>
      <c r="F146" s="94"/>
      <c r="G146" s="94"/>
    </row>
    <row r="147" spans="1:7" ht="15.75">
      <c r="A147" s="49" t="s">
        <v>195</v>
      </c>
      <c r="B147" s="95"/>
      <c r="C147" s="95"/>
      <c r="D147" s="95"/>
      <c r="E147" s="95"/>
      <c r="F147" s="95"/>
      <c r="G147" s="95"/>
    </row>
    <row r="148" spans="1:7" ht="15.75">
      <c r="A148" s="99" t="str">
        <f>A81</f>
        <v>Porcentaje de servicios de la mesa de servicios atendidos mediante el nivel de servicio establecido SLA no mayor a 4 hrs.</v>
      </c>
      <c r="B148" s="99"/>
      <c r="C148" s="99"/>
      <c r="D148" s="99"/>
      <c r="E148" s="99"/>
      <c r="F148" s="99"/>
      <c r="G148" s="99"/>
    </row>
    <row r="149" spans="1:7" ht="31.5" customHeight="1">
      <c r="A149" s="49" t="s">
        <v>193</v>
      </c>
      <c r="B149" s="94" t="s">
        <v>819</v>
      </c>
      <c r="C149" s="94"/>
      <c r="D149" s="94"/>
      <c r="E149" s="94"/>
      <c r="F149" s="94"/>
      <c r="G149" s="94"/>
    </row>
    <row r="150" spans="1:7" ht="15.75">
      <c r="A150" s="49" t="s">
        <v>6</v>
      </c>
      <c r="B150" s="94" t="s">
        <v>829</v>
      </c>
      <c r="C150" s="94"/>
      <c r="D150" s="94"/>
      <c r="E150" s="94"/>
      <c r="F150" s="94"/>
      <c r="G150" s="94"/>
    </row>
    <row r="151" spans="1:7" ht="15.75">
      <c r="A151" s="49" t="s">
        <v>195</v>
      </c>
      <c r="B151" s="95"/>
      <c r="C151" s="95"/>
      <c r="D151" s="95"/>
      <c r="E151" s="95"/>
      <c r="F151" s="95"/>
      <c r="G151" s="95"/>
    </row>
    <row r="152" spans="1:7" ht="15.75">
      <c r="A152" s="99" t="str">
        <f>A85</f>
        <v>Porcentaje de solicitudes de pruebas de penetración atendidos para los micrositios Institucionales</v>
      </c>
      <c r="B152" s="99"/>
      <c r="C152" s="99"/>
      <c r="D152" s="99"/>
      <c r="E152" s="99"/>
      <c r="F152" s="99"/>
      <c r="G152" s="99"/>
    </row>
    <row r="153" spans="1:7" ht="15.75">
      <c r="A153" s="49" t="s">
        <v>193</v>
      </c>
      <c r="B153" s="94" t="s">
        <v>820</v>
      </c>
      <c r="C153" s="94"/>
      <c r="D153" s="94"/>
      <c r="E153" s="94"/>
      <c r="F153" s="94"/>
      <c r="G153" s="94"/>
    </row>
    <row r="154" spans="1:7" ht="15.75">
      <c r="A154" s="49" t="s">
        <v>6</v>
      </c>
      <c r="B154" s="94" t="s">
        <v>830</v>
      </c>
      <c r="C154" s="94"/>
      <c r="D154" s="94"/>
      <c r="E154" s="94"/>
      <c r="F154" s="94"/>
      <c r="G154" s="94"/>
    </row>
    <row r="155" spans="1:7" ht="15.75">
      <c r="A155" s="49" t="s">
        <v>195</v>
      </c>
      <c r="B155" s="95"/>
      <c r="C155" s="95"/>
      <c r="D155" s="95"/>
      <c r="E155" s="95"/>
      <c r="F155" s="95"/>
      <c r="G155" s="95"/>
    </row>
    <row r="156" spans="1:7" ht="15.75">
      <c r="A156" s="99" t="str">
        <f>A89</f>
        <v>Porcentaje de solicitudes de soporte a malware atendidos.</v>
      </c>
      <c r="B156" s="99"/>
      <c r="C156" s="99"/>
      <c r="D156" s="99"/>
      <c r="E156" s="99"/>
      <c r="F156" s="99"/>
      <c r="G156" s="99"/>
    </row>
    <row r="157" spans="1:7" ht="15.75">
      <c r="A157" s="49" t="s">
        <v>193</v>
      </c>
      <c r="B157" s="94" t="s">
        <v>821</v>
      </c>
      <c r="C157" s="94"/>
      <c r="D157" s="94"/>
      <c r="E157" s="94"/>
      <c r="F157" s="94"/>
      <c r="G157" s="94"/>
    </row>
    <row r="158" spans="1:7" ht="15.75">
      <c r="A158" s="49" t="s">
        <v>6</v>
      </c>
      <c r="B158" s="94" t="s">
        <v>822</v>
      </c>
      <c r="C158" s="94"/>
      <c r="D158" s="94"/>
      <c r="E158" s="94"/>
      <c r="F158" s="94"/>
      <c r="G158" s="94"/>
    </row>
    <row r="159" spans="1:7" ht="15.75">
      <c r="A159" s="49" t="s">
        <v>195</v>
      </c>
      <c r="B159" s="95"/>
      <c r="C159" s="95"/>
      <c r="D159" s="95"/>
      <c r="E159" s="95"/>
      <c r="F159" s="95"/>
      <c r="G159" s="95"/>
    </row>
    <row r="160" spans="1:7" ht="15.75">
      <c r="A160" s="99" t="str">
        <f>A93</f>
        <v>Porcentaje de requerimientos de los sistemas del instituto implementados</v>
      </c>
      <c r="B160" s="99"/>
      <c r="C160" s="99"/>
      <c r="D160" s="99"/>
      <c r="E160" s="99"/>
      <c r="F160" s="99"/>
      <c r="G160" s="99"/>
    </row>
    <row r="161" spans="1:7" ht="31.5" customHeight="1">
      <c r="A161" s="49" t="s">
        <v>193</v>
      </c>
      <c r="B161" s="94" t="s">
        <v>823</v>
      </c>
      <c r="C161" s="94"/>
      <c r="D161" s="94"/>
      <c r="E161" s="94"/>
      <c r="F161" s="94"/>
      <c r="G161" s="94"/>
    </row>
    <row r="162" spans="1:7" ht="31.5" customHeight="1">
      <c r="A162" s="49" t="s">
        <v>6</v>
      </c>
      <c r="B162" s="94" t="s">
        <v>824</v>
      </c>
      <c r="C162" s="94"/>
      <c r="D162" s="94"/>
      <c r="E162" s="94"/>
      <c r="F162" s="94"/>
      <c r="G162" s="94"/>
    </row>
    <row r="163" spans="1:7" ht="15.75">
      <c r="A163" s="49" t="s">
        <v>195</v>
      </c>
      <c r="B163" s="95"/>
      <c r="C163" s="95"/>
      <c r="D163" s="95"/>
      <c r="E163" s="95"/>
      <c r="F163" s="95"/>
      <c r="G163" s="95"/>
    </row>
    <row r="164" spans="1:7" ht="15.75">
      <c r="A164" s="99" t="str">
        <f>A97</f>
        <v>Porcentaje de solicitudes de soporte a aplicativos atendidos</v>
      </c>
      <c r="B164" s="99"/>
      <c r="C164" s="99"/>
      <c r="D164" s="99"/>
      <c r="E164" s="99"/>
      <c r="F164" s="99"/>
      <c r="G164" s="99"/>
    </row>
    <row r="165" spans="1:7" ht="15.75">
      <c r="A165" s="49" t="s">
        <v>193</v>
      </c>
      <c r="B165" s="94" t="s">
        <v>813</v>
      </c>
      <c r="C165" s="94"/>
      <c r="D165" s="94"/>
      <c r="E165" s="94"/>
      <c r="F165" s="94"/>
      <c r="G165" s="94"/>
    </row>
    <row r="166" spans="1:7" ht="31.5" customHeight="1">
      <c r="A166" s="49" t="s">
        <v>6</v>
      </c>
      <c r="B166" s="94" t="s">
        <v>825</v>
      </c>
      <c r="C166" s="94"/>
      <c r="D166" s="94"/>
      <c r="E166" s="94"/>
      <c r="F166" s="94"/>
      <c r="G166" s="94"/>
    </row>
    <row r="167" spans="1:7" ht="15.75">
      <c r="A167" s="49" t="s">
        <v>195</v>
      </c>
      <c r="B167" s="95"/>
      <c r="C167" s="95"/>
      <c r="D167" s="95"/>
      <c r="E167" s="95"/>
      <c r="F167" s="95"/>
      <c r="G167" s="95"/>
    </row>
    <row r="168" spans="1:7" ht="15.75">
      <c r="A168" s="99" t="str">
        <f>A101</f>
        <v>Porcentaje de disponibilidad de los  servicios del Centro de Procesamiento de Datos (CPD)</v>
      </c>
      <c r="B168" s="99"/>
      <c r="C168" s="99"/>
      <c r="D168" s="99"/>
      <c r="E168" s="99"/>
      <c r="F168" s="99"/>
      <c r="G168" s="99"/>
    </row>
    <row r="169" spans="1:7" ht="15.75">
      <c r="A169" s="49" t="s">
        <v>193</v>
      </c>
      <c r="B169" s="94" t="s">
        <v>826</v>
      </c>
      <c r="C169" s="94"/>
      <c r="D169" s="94"/>
      <c r="E169" s="94"/>
      <c r="F169" s="94"/>
      <c r="G169" s="94"/>
    </row>
    <row r="170" spans="1:7" ht="15.75">
      <c r="A170" s="49" t="s">
        <v>6</v>
      </c>
      <c r="B170" s="94" t="s">
        <v>805</v>
      </c>
      <c r="C170" s="94"/>
      <c r="D170" s="94"/>
      <c r="E170" s="94"/>
      <c r="F170" s="94"/>
      <c r="G170" s="94"/>
    </row>
    <row r="171" spans="1:7" ht="15.75">
      <c r="A171" s="49" t="s">
        <v>195</v>
      </c>
      <c r="B171" s="95"/>
      <c r="C171" s="95"/>
      <c r="D171" s="95"/>
      <c r="E171" s="95"/>
      <c r="F171" s="95"/>
      <c r="G171" s="95"/>
    </row>
    <row r="172" spans="1:7" ht="15.75">
      <c r="A172" s="146"/>
      <c r="B172" s="146"/>
      <c r="C172" s="146"/>
      <c r="D172" s="146"/>
      <c r="E172" s="146"/>
      <c r="F172" s="146"/>
      <c r="G172" s="146"/>
    </row>
    <row r="173" spans="1:7" ht="15.75">
      <c r="A173" s="96" t="s">
        <v>226</v>
      </c>
      <c r="B173" s="96"/>
      <c r="C173" s="96"/>
      <c r="D173" s="96"/>
      <c r="E173" s="96"/>
      <c r="F173" s="96"/>
      <c r="G173" s="96"/>
    </row>
    <row r="174" spans="1:7" ht="15.75">
      <c r="A174" s="150"/>
      <c r="B174" s="151"/>
      <c r="C174" s="151"/>
      <c r="D174" s="151"/>
      <c r="E174" s="151"/>
      <c r="F174" s="151"/>
      <c r="G174" s="152"/>
    </row>
    <row r="175" spans="1:7" ht="31.5" customHeight="1">
      <c r="A175" s="196" t="s">
        <v>229</v>
      </c>
      <c r="B175" s="197"/>
      <c r="C175" s="197"/>
      <c r="D175" s="197"/>
      <c r="E175" s="197"/>
      <c r="F175" s="197"/>
      <c r="G175" s="197"/>
    </row>
  </sheetData>
  <sheetProtection/>
  <mergeCells count="288">
    <mergeCell ref="B170:G170"/>
    <mergeCell ref="B171:G171"/>
    <mergeCell ref="A172:G172"/>
    <mergeCell ref="A173:G173"/>
    <mergeCell ref="A174:G174"/>
    <mergeCell ref="A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34:G134"/>
    <mergeCell ref="B135:G135"/>
    <mergeCell ref="A136:G136"/>
    <mergeCell ref="B137:G137"/>
    <mergeCell ref="B138:G138"/>
    <mergeCell ref="B139:G139"/>
    <mergeCell ref="A128:G128"/>
    <mergeCell ref="B129:G129"/>
    <mergeCell ref="B130:G130"/>
    <mergeCell ref="B131:G131"/>
    <mergeCell ref="A132:G132"/>
    <mergeCell ref="B133:G133"/>
    <mergeCell ref="B122:G122"/>
    <mergeCell ref="B123:G123"/>
    <mergeCell ref="A124:G124"/>
    <mergeCell ref="B125:G125"/>
    <mergeCell ref="B126:G126"/>
    <mergeCell ref="B127:G127"/>
    <mergeCell ref="A116:G116"/>
    <mergeCell ref="B117:G117"/>
    <mergeCell ref="B118:G118"/>
    <mergeCell ref="B119:G119"/>
    <mergeCell ref="A120:G120"/>
    <mergeCell ref="B121:G121"/>
    <mergeCell ref="B110:G110"/>
    <mergeCell ref="B111:G111"/>
    <mergeCell ref="A112:G112"/>
    <mergeCell ref="B113:G113"/>
    <mergeCell ref="B114:G114"/>
    <mergeCell ref="B115:G115"/>
    <mergeCell ref="A104:G104"/>
    <mergeCell ref="B105:G105"/>
    <mergeCell ref="B106:G106"/>
    <mergeCell ref="B107:G107"/>
    <mergeCell ref="A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3" manualBreakCount="3">
    <brk id="44" max="255" man="1"/>
    <brk id="86" max="255" man="1"/>
    <brk id="161" max="255" man="1"/>
  </rowBreaks>
</worksheet>
</file>

<file path=xl/worksheets/sheet25.xml><?xml version="1.0" encoding="utf-8"?>
<worksheet xmlns="http://schemas.openxmlformats.org/spreadsheetml/2006/main" xmlns:r="http://schemas.openxmlformats.org/officeDocument/2006/relationships">
  <dimension ref="A1:G145"/>
  <sheetViews>
    <sheetView showGridLines="0" tabSelected="1" view="pageBreakPreview" zoomScale="70" zoomScaleSheetLayoutView="70" zoomScalePageLayoutView="0" workbookViewId="0" topLeftCell="A106">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52"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749</v>
      </c>
      <c r="E5" s="141"/>
      <c r="F5" s="141"/>
      <c r="G5" s="142"/>
    </row>
    <row r="6" spans="1:7" ht="15" customHeight="1">
      <c r="A6" s="137" t="s">
        <v>86</v>
      </c>
      <c r="B6" s="138"/>
      <c r="C6" s="139"/>
      <c r="D6" s="140" t="s">
        <v>87</v>
      </c>
      <c r="E6" s="141"/>
      <c r="F6" s="141"/>
      <c r="G6" s="142"/>
    </row>
    <row r="7" spans="1:7" ht="15.75">
      <c r="A7" s="137" t="s">
        <v>88</v>
      </c>
      <c r="B7" s="138"/>
      <c r="C7" s="139"/>
      <c r="D7" s="140" t="s">
        <v>89</v>
      </c>
      <c r="E7" s="141"/>
      <c r="F7" s="141"/>
      <c r="G7" s="142"/>
    </row>
    <row r="8" spans="1:7" ht="15" customHeight="1">
      <c r="A8" s="137" t="s">
        <v>90</v>
      </c>
      <c r="B8" s="138"/>
      <c r="C8" s="139"/>
      <c r="D8" s="140" t="s">
        <v>831</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751</v>
      </c>
      <c r="B13" s="166"/>
      <c r="C13" s="166"/>
      <c r="D13" s="166"/>
      <c r="E13" s="166"/>
      <c r="F13" s="166"/>
      <c r="G13" s="167"/>
    </row>
    <row r="14" spans="1:7" ht="16.5">
      <c r="A14" s="39"/>
      <c r="B14" s="163" t="s">
        <v>98</v>
      </c>
      <c r="C14" s="163"/>
      <c r="D14" s="163"/>
      <c r="E14" s="163"/>
      <c r="F14" s="163"/>
      <c r="G14" s="164"/>
    </row>
    <row r="15" spans="1:7" ht="15.75">
      <c r="A15" s="40"/>
      <c r="B15" s="168" t="s">
        <v>832</v>
      </c>
      <c r="C15" s="168"/>
      <c r="D15" s="168"/>
      <c r="E15" s="168"/>
      <c r="F15" s="168"/>
      <c r="G15" s="169"/>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'E003'!B17</f>
        <v>137.99178</v>
      </c>
      <c r="F24" s="43">
        <f>'E003'!C17</f>
        <v>150.04598703</v>
      </c>
      <c r="G24" s="44">
        <f>F24/E24</f>
        <v>1.0873545295958933</v>
      </c>
    </row>
    <row r="25" spans="1:7" ht="15.75">
      <c r="A25" s="123" t="s">
        <v>114</v>
      </c>
      <c r="B25" s="124"/>
      <c r="C25" s="124"/>
      <c r="D25" s="125"/>
      <c r="E25" s="43">
        <f>'E003'!B18</f>
        <v>150.04598703</v>
      </c>
      <c r="F25" s="43">
        <f>'E003'!C18</f>
        <v>150.04598703</v>
      </c>
      <c r="G25" s="44">
        <f>F25/E25</f>
        <v>1</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t="s">
        <v>39</v>
      </c>
    </row>
    <row r="30" spans="1:7" ht="15.75">
      <c r="A30" s="105"/>
      <c r="B30" s="105"/>
      <c r="C30" s="105"/>
      <c r="D30" s="105"/>
      <c r="E30" s="105"/>
      <c r="F30" s="45" t="s">
        <v>124</v>
      </c>
      <c r="G30" s="46" t="s">
        <v>39</v>
      </c>
    </row>
    <row r="31" spans="1:7" ht="68.25" customHeight="1">
      <c r="A31" s="100" t="s">
        <v>833</v>
      </c>
      <c r="B31" s="100" t="s">
        <v>834</v>
      </c>
      <c r="C31" s="100" t="s">
        <v>835</v>
      </c>
      <c r="D31" s="102" t="s">
        <v>5</v>
      </c>
      <c r="E31" s="102" t="s">
        <v>286</v>
      </c>
      <c r="F31" s="45" t="s">
        <v>130</v>
      </c>
      <c r="G31" s="47" t="s">
        <v>39</v>
      </c>
    </row>
    <row r="32" spans="1:7" ht="68.25" customHeight="1">
      <c r="A32" s="101"/>
      <c r="B32" s="101"/>
      <c r="C32" s="101"/>
      <c r="D32" s="103"/>
      <c r="E32" s="103"/>
      <c r="F32" s="45" t="s">
        <v>131</v>
      </c>
      <c r="G32" s="47" t="s">
        <v>39</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50</v>
      </c>
    </row>
    <row r="36" spans="1:7" ht="15.75">
      <c r="A36" s="105"/>
      <c r="B36" s="105"/>
      <c r="C36" s="105"/>
      <c r="D36" s="105"/>
      <c r="E36" s="105"/>
      <c r="F36" s="45" t="s">
        <v>124</v>
      </c>
      <c r="G36" s="46">
        <v>50</v>
      </c>
    </row>
    <row r="37" spans="1:7" ht="45" customHeight="1">
      <c r="A37" s="100" t="s">
        <v>836</v>
      </c>
      <c r="B37" s="100" t="s">
        <v>837</v>
      </c>
      <c r="C37" s="100" t="s">
        <v>838</v>
      </c>
      <c r="D37" s="102" t="s">
        <v>5</v>
      </c>
      <c r="E37" s="102" t="s">
        <v>129</v>
      </c>
      <c r="F37" s="45" t="s">
        <v>130</v>
      </c>
      <c r="G37" s="47">
        <v>27</v>
      </c>
    </row>
    <row r="38" spans="1:7" ht="45" customHeight="1">
      <c r="A38" s="101"/>
      <c r="B38" s="101"/>
      <c r="C38" s="101"/>
      <c r="D38" s="103"/>
      <c r="E38" s="103"/>
      <c r="F38" s="45" t="s">
        <v>131</v>
      </c>
      <c r="G38" s="47">
        <v>54</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90</v>
      </c>
    </row>
    <row r="42" spans="1:7" ht="15.75">
      <c r="A42" s="105"/>
      <c r="B42" s="105"/>
      <c r="C42" s="105"/>
      <c r="D42" s="105"/>
      <c r="E42" s="105"/>
      <c r="F42" s="45" t="s">
        <v>124</v>
      </c>
      <c r="G42" s="46">
        <v>90</v>
      </c>
    </row>
    <row r="43" spans="1:7" ht="15.75" customHeight="1">
      <c r="A43" s="100" t="s">
        <v>839</v>
      </c>
      <c r="B43" s="100" t="s">
        <v>840</v>
      </c>
      <c r="C43" s="100" t="s">
        <v>841</v>
      </c>
      <c r="D43" s="102" t="s">
        <v>5</v>
      </c>
      <c r="E43" s="102" t="s">
        <v>142</v>
      </c>
      <c r="F43" s="45" t="s">
        <v>130</v>
      </c>
      <c r="G43" s="47">
        <f>124/124*100</f>
        <v>100</v>
      </c>
    </row>
    <row r="44" spans="1:7" ht="27">
      <c r="A44" s="101"/>
      <c r="B44" s="101"/>
      <c r="C44" s="101"/>
      <c r="D44" s="103"/>
      <c r="E44" s="103"/>
      <c r="F44" s="45" t="s">
        <v>131</v>
      </c>
      <c r="G44" s="47">
        <v>111.11111111111111</v>
      </c>
    </row>
    <row r="45" spans="1:7" ht="15.75" customHeight="1">
      <c r="A45" s="104" t="s">
        <v>119</v>
      </c>
      <c r="B45" s="104" t="s">
        <v>120</v>
      </c>
      <c r="C45" s="104" t="s">
        <v>65</v>
      </c>
      <c r="D45" s="104" t="s">
        <v>121</v>
      </c>
      <c r="E45" s="104" t="s">
        <v>122</v>
      </c>
      <c r="F45" s="45" t="s">
        <v>123</v>
      </c>
      <c r="G45" s="46">
        <v>90</v>
      </c>
    </row>
    <row r="46" spans="1:7" ht="15.75">
      <c r="A46" s="105"/>
      <c r="B46" s="105"/>
      <c r="C46" s="105"/>
      <c r="D46" s="105"/>
      <c r="E46" s="105"/>
      <c r="F46" s="45" t="s">
        <v>124</v>
      </c>
      <c r="G46" s="46">
        <v>90</v>
      </c>
    </row>
    <row r="47" spans="1:7" ht="15.75" customHeight="1">
      <c r="A47" s="100" t="s">
        <v>842</v>
      </c>
      <c r="B47" s="100" t="s">
        <v>843</v>
      </c>
      <c r="C47" s="100" t="s">
        <v>844</v>
      </c>
      <c r="D47" s="102" t="s">
        <v>5</v>
      </c>
      <c r="E47" s="102" t="s">
        <v>142</v>
      </c>
      <c r="F47" s="45" t="s">
        <v>130</v>
      </c>
      <c r="G47" s="47">
        <f>90/90*100</f>
        <v>100</v>
      </c>
    </row>
    <row r="48" spans="1:7" ht="27">
      <c r="A48" s="101"/>
      <c r="B48" s="101"/>
      <c r="C48" s="101"/>
      <c r="D48" s="103"/>
      <c r="E48" s="103"/>
      <c r="F48" s="45" t="s">
        <v>131</v>
      </c>
      <c r="G48" s="47">
        <v>111.11111111111111</v>
      </c>
    </row>
    <row r="49" spans="1:7" ht="15.75">
      <c r="A49" s="96" t="s">
        <v>303</v>
      </c>
      <c r="B49" s="96"/>
      <c r="C49" s="96"/>
      <c r="D49" s="96"/>
      <c r="E49" s="96"/>
      <c r="F49" s="96"/>
      <c r="G49" s="96"/>
    </row>
    <row r="50" spans="1:7" ht="15.75">
      <c r="A50" s="106" t="s">
        <v>117</v>
      </c>
      <c r="B50" s="106"/>
      <c r="C50" s="106"/>
      <c r="D50" s="106"/>
      <c r="E50" s="106"/>
      <c r="F50" s="106" t="s">
        <v>118</v>
      </c>
      <c r="G50" s="106"/>
    </row>
    <row r="51" spans="1:7" ht="15.75" customHeight="1">
      <c r="A51" s="104" t="s">
        <v>119</v>
      </c>
      <c r="B51" s="104" t="s">
        <v>120</v>
      </c>
      <c r="C51" s="104" t="s">
        <v>65</v>
      </c>
      <c r="D51" s="104" t="s">
        <v>121</v>
      </c>
      <c r="E51" s="104" t="s">
        <v>122</v>
      </c>
      <c r="F51" s="45" t="s">
        <v>123</v>
      </c>
      <c r="G51" s="46">
        <v>90</v>
      </c>
    </row>
    <row r="52" spans="1:7" ht="15.75">
      <c r="A52" s="105"/>
      <c r="B52" s="105"/>
      <c r="C52" s="105"/>
      <c r="D52" s="105"/>
      <c r="E52" s="105"/>
      <c r="F52" s="45" t="s">
        <v>124</v>
      </c>
      <c r="G52" s="46">
        <v>90</v>
      </c>
    </row>
    <row r="53" spans="1:7" ht="31.5" customHeight="1">
      <c r="A53" s="100" t="s">
        <v>845</v>
      </c>
      <c r="B53" s="100" t="s">
        <v>846</v>
      </c>
      <c r="C53" s="100" t="s">
        <v>847</v>
      </c>
      <c r="D53" s="102" t="s">
        <v>5</v>
      </c>
      <c r="E53" s="102" t="s">
        <v>167</v>
      </c>
      <c r="F53" s="45" t="s">
        <v>130</v>
      </c>
      <c r="G53" s="47">
        <f>14/14*100</f>
        <v>100</v>
      </c>
    </row>
    <row r="54" spans="1:7" ht="31.5" customHeight="1">
      <c r="A54" s="101"/>
      <c r="B54" s="101"/>
      <c r="C54" s="101"/>
      <c r="D54" s="103"/>
      <c r="E54" s="103"/>
      <c r="F54" s="45" t="s">
        <v>131</v>
      </c>
      <c r="G54" s="47">
        <v>111.11111111111111</v>
      </c>
    </row>
    <row r="55" spans="1:7" ht="15.75" customHeight="1">
      <c r="A55" s="104" t="s">
        <v>119</v>
      </c>
      <c r="B55" s="104" t="s">
        <v>120</v>
      </c>
      <c r="C55" s="104" t="s">
        <v>65</v>
      </c>
      <c r="D55" s="104" t="s">
        <v>121</v>
      </c>
      <c r="E55" s="104" t="s">
        <v>122</v>
      </c>
      <c r="F55" s="45" t="s">
        <v>123</v>
      </c>
      <c r="G55" s="46">
        <v>90</v>
      </c>
    </row>
    <row r="56" spans="1:7" ht="15.75">
      <c r="A56" s="105"/>
      <c r="B56" s="105"/>
      <c r="C56" s="105"/>
      <c r="D56" s="105"/>
      <c r="E56" s="105"/>
      <c r="F56" s="45" t="s">
        <v>124</v>
      </c>
      <c r="G56" s="46">
        <v>90</v>
      </c>
    </row>
    <row r="57" spans="1:7" ht="15.75" customHeight="1">
      <c r="A57" s="100" t="s">
        <v>848</v>
      </c>
      <c r="B57" s="100" t="s">
        <v>849</v>
      </c>
      <c r="C57" s="100" t="s">
        <v>850</v>
      </c>
      <c r="D57" s="102" t="s">
        <v>5</v>
      </c>
      <c r="E57" s="102" t="s">
        <v>167</v>
      </c>
      <c r="F57" s="45" t="s">
        <v>130</v>
      </c>
      <c r="G57" s="47">
        <f>41/41*100</f>
        <v>100</v>
      </c>
    </row>
    <row r="58" spans="1:7" ht="27">
      <c r="A58" s="101"/>
      <c r="B58" s="101"/>
      <c r="C58" s="101"/>
      <c r="D58" s="103"/>
      <c r="E58" s="103"/>
      <c r="F58" s="45" t="s">
        <v>131</v>
      </c>
      <c r="G58" s="47">
        <v>111.11111111111111</v>
      </c>
    </row>
    <row r="59" spans="1:7" ht="15.75" customHeight="1">
      <c r="A59" s="104" t="s">
        <v>119</v>
      </c>
      <c r="B59" s="104" t="s">
        <v>120</v>
      </c>
      <c r="C59" s="104" t="s">
        <v>65</v>
      </c>
      <c r="D59" s="104" t="s">
        <v>121</v>
      </c>
      <c r="E59" s="104" t="s">
        <v>122</v>
      </c>
      <c r="F59" s="45" t="s">
        <v>123</v>
      </c>
      <c r="G59" s="46">
        <v>90</v>
      </c>
    </row>
    <row r="60" spans="1:7" ht="15.75">
      <c r="A60" s="105"/>
      <c r="B60" s="105"/>
      <c r="C60" s="105"/>
      <c r="D60" s="105"/>
      <c r="E60" s="105"/>
      <c r="F60" s="45" t="s">
        <v>124</v>
      </c>
      <c r="G60" s="46">
        <v>90</v>
      </c>
    </row>
    <row r="61" spans="1:7" ht="31.5" customHeight="1">
      <c r="A61" s="100" t="s">
        <v>851</v>
      </c>
      <c r="B61" s="100" t="s">
        <v>852</v>
      </c>
      <c r="C61" s="100" t="s">
        <v>853</v>
      </c>
      <c r="D61" s="102" t="s">
        <v>5</v>
      </c>
      <c r="E61" s="102" t="s">
        <v>142</v>
      </c>
      <c r="F61" s="45" t="s">
        <v>130</v>
      </c>
      <c r="G61" s="47">
        <f>26/(25+1)*100</f>
        <v>100</v>
      </c>
    </row>
    <row r="62" spans="1:7" ht="31.5" customHeight="1">
      <c r="A62" s="101"/>
      <c r="B62" s="101"/>
      <c r="C62" s="101"/>
      <c r="D62" s="103"/>
      <c r="E62" s="103"/>
      <c r="F62" s="45" t="s">
        <v>131</v>
      </c>
      <c r="G62" s="47">
        <v>111.11111111111111</v>
      </c>
    </row>
    <row r="63" spans="1:7" ht="15.75" customHeight="1">
      <c r="A63" s="104" t="s">
        <v>119</v>
      </c>
      <c r="B63" s="104" t="s">
        <v>120</v>
      </c>
      <c r="C63" s="104" t="s">
        <v>65</v>
      </c>
      <c r="D63" s="104" t="s">
        <v>121</v>
      </c>
      <c r="E63" s="104" t="s">
        <v>122</v>
      </c>
      <c r="F63" s="45" t="s">
        <v>123</v>
      </c>
      <c r="G63" s="46">
        <v>90</v>
      </c>
    </row>
    <row r="64" spans="1:7" ht="15.75">
      <c r="A64" s="105"/>
      <c r="B64" s="105"/>
      <c r="C64" s="105"/>
      <c r="D64" s="105"/>
      <c r="E64" s="105"/>
      <c r="F64" s="45" t="s">
        <v>124</v>
      </c>
      <c r="G64" s="46">
        <v>90</v>
      </c>
    </row>
    <row r="65" spans="1:7" ht="36" customHeight="1">
      <c r="A65" s="100" t="s">
        <v>854</v>
      </c>
      <c r="B65" s="100" t="s">
        <v>855</v>
      </c>
      <c r="C65" s="100" t="s">
        <v>856</v>
      </c>
      <c r="D65" s="102" t="s">
        <v>5</v>
      </c>
      <c r="E65" s="102" t="s">
        <v>142</v>
      </c>
      <c r="F65" s="45" t="s">
        <v>130</v>
      </c>
      <c r="G65" s="47">
        <f>3/3*100</f>
        <v>100</v>
      </c>
    </row>
    <row r="66" spans="1:7" ht="36" customHeight="1">
      <c r="A66" s="101"/>
      <c r="B66" s="101"/>
      <c r="C66" s="101"/>
      <c r="D66" s="103"/>
      <c r="E66" s="103"/>
      <c r="F66" s="45" t="s">
        <v>131</v>
      </c>
      <c r="G66" s="47">
        <v>111.11111111111111</v>
      </c>
    </row>
    <row r="67" spans="1:7" ht="15.75" customHeight="1">
      <c r="A67" s="104" t="s">
        <v>119</v>
      </c>
      <c r="B67" s="104" t="s">
        <v>120</v>
      </c>
      <c r="C67" s="104" t="s">
        <v>65</v>
      </c>
      <c r="D67" s="104" t="s">
        <v>121</v>
      </c>
      <c r="E67" s="104" t="s">
        <v>122</v>
      </c>
      <c r="F67" s="45" t="s">
        <v>123</v>
      </c>
      <c r="G67" s="46">
        <v>90</v>
      </c>
    </row>
    <row r="68" spans="1:7" ht="15.75">
      <c r="A68" s="105"/>
      <c r="B68" s="105"/>
      <c r="C68" s="105"/>
      <c r="D68" s="105"/>
      <c r="E68" s="105"/>
      <c r="F68" s="45" t="s">
        <v>124</v>
      </c>
      <c r="G68" s="46">
        <v>90</v>
      </c>
    </row>
    <row r="69" spans="1:7" ht="30" customHeight="1">
      <c r="A69" s="100" t="s">
        <v>857</v>
      </c>
      <c r="B69" s="100" t="s">
        <v>858</v>
      </c>
      <c r="C69" s="100" t="s">
        <v>859</v>
      </c>
      <c r="D69" s="102" t="s">
        <v>5</v>
      </c>
      <c r="E69" s="102" t="s">
        <v>788</v>
      </c>
      <c r="F69" s="45" t="s">
        <v>130</v>
      </c>
      <c r="G69" s="47">
        <f>32/32*100</f>
        <v>100</v>
      </c>
    </row>
    <row r="70" spans="1:7" ht="30" customHeight="1">
      <c r="A70" s="101"/>
      <c r="B70" s="101"/>
      <c r="C70" s="101"/>
      <c r="D70" s="103"/>
      <c r="E70" s="103"/>
      <c r="F70" s="45" t="s">
        <v>131</v>
      </c>
      <c r="G70" s="47">
        <v>111.11111111111111</v>
      </c>
    </row>
    <row r="71" spans="1:7" ht="15.75" customHeight="1">
      <c r="A71" s="104" t="s">
        <v>119</v>
      </c>
      <c r="B71" s="104" t="s">
        <v>120</v>
      </c>
      <c r="C71" s="104" t="s">
        <v>65</v>
      </c>
      <c r="D71" s="104" t="s">
        <v>121</v>
      </c>
      <c r="E71" s="104" t="s">
        <v>122</v>
      </c>
      <c r="F71" s="45" t="s">
        <v>123</v>
      </c>
      <c r="G71" s="46">
        <v>8</v>
      </c>
    </row>
    <row r="72" spans="1:7" ht="15.75">
      <c r="A72" s="105"/>
      <c r="B72" s="105"/>
      <c r="C72" s="105"/>
      <c r="D72" s="105"/>
      <c r="E72" s="105"/>
      <c r="F72" s="45" t="s">
        <v>124</v>
      </c>
      <c r="G72" s="46">
        <v>8</v>
      </c>
    </row>
    <row r="73" spans="1:7" ht="31.5" customHeight="1">
      <c r="A73" s="100" t="s">
        <v>860</v>
      </c>
      <c r="B73" s="100" t="s">
        <v>861</v>
      </c>
      <c r="C73" s="100" t="s">
        <v>862</v>
      </c>
      <c r="D73" s="102" t="s">
        <v>863</v>
      </c>
      <c r="E73" s="102" t="s">
        <v>298</v>
      </c>
      <c r="F73" s="45" t="s">
        <v>130</v>
      </c>
      <c r="G73" s="47">
        <v>8</v>
      </c>
    </row>
    <row r="74" spans="1:7" ht="31.5" customHeight="1">
      <c r="A74" s="101"/>
      <c r="B74" s="101"/>
      <c r="C74" s="101"/>
      <c r="D74" s="103"/>
      <c r="E74" s="103"/>
      <c r="F74" s="45" t="s">
        <v>131</v>
      </c>
      <c r="G74" s="47">
        <v>100</v>
      </c>
    </row>
    <row r="75" spans="1:7" ht="15.75" customHeight="1">
      <c r="A75" s="104" t="s">
        <v>119</v>
      </c>
      <c r="B75" s="104" t="s">
        <v>120</v>
      </c>
      <c r="C75" s="104" t="s">
        <v>65</v>
      </c>
      <c r="D75" s="104" t="s">
        <v>121</v>
      </c>
      <c r="E75" s="104" t="s">
        <v>122</v>
      </c>
      <c r="F75" s="45" t="s">
        <v>123</v>
      </c>
      <c r="G75" s="46">
        <v>90</v>
      </c>
    </row>
    <row r="76" spans="1:7" ht="15.75">
      <c r="A76" s="105"/>
      <c r="B76" s="105"/>
      <c r="C76" s="105"/>
      <c r="D76" s="105"/>
      <c r="E76" s="105"/>
      <c r="F76" s="45" t="s">
        <v>124</v>
      </c>
      <c r="G76" s="46">
        <v>90</v>
      </c>
    </row>
    <row r="77" spans="1:7" ht="36.75" customHeight="1">
      <c r="A77" s="100" t="s">
        <v>864</v>
      </c>
      <c r="B77" s="100" t="s">
        <v>865</v>
      </c>
      <c r="C77" s="100" t="s">
        <v>866</v>
      </c>
      <c r="D77" s="102" t="s">
        <v>5</v>
      </c>
      <c r="E77" s="102" t="s">
        <v>142</v>
      </c>
      <c r="F77" s="45" t="s">
        <v>130</v>
      </c>
      <c r="G77" s="47">
        <f>11/11*100</f>
        <v>100</v>
      </c>
    </row>
    <row r="78" spans="1:7" ht="36.75" customHeight="1">
      <c r="A78" s="101"/>
      <c r="B78" s="101"/>
      <c r="C78" s="101"/>
      <c r="D78" s="103"/>
      <c r="E78" s="103"/>
      <c r="F78" s="45" t="s">
        <v>131</v>
      </c>
      <c r="G78" s="47">
        <v>111.11111111111111</v>
      </c>
    </row>
    <row r="79" spans="1:7" ht="15.75" customHeight="1">
      <c r="A79" s="104" t="s">
        <v>119</v>
      </c>
      <c r="B79" s="104" t="s">
        <v>120</v>
      </c>
      <c r="C79" s="104" t="s">
        <v>65</v>
      </c>
      <c r="D79" s="104" t="s">
        <v>121</v>
      </c>
      <c r="E79" s="104" t="s">
        <v>122</v>
      </c>
      <c r="F79" s="45" t="s">
        <v>123</v>
      </c>
      <c r="G79" s="46">
        <v>90</v>
      </c>
    </row>
    <row r="80" spans="1:7" ht="15.75">
      <c r="A80" s="105"/>
      <c r="B80" s="105"/>
      <c r="C80" s="105"/>
      <c r="D80" s="105"/>
      <c r="E80" s="105"/>
      <c r="F80" s="45" t="s">
        <v>124</v>
      </c>
      <c r="G80" s="46">
        <v>90</v>
      </c>
    </row>
    <row r="81" spans="1:7" ht="33" customHeight="1">
      <c r="A81" s="100" t="s">
        <v>867</v>
      </c>
      <c r="B81" s="100" t="s">
        <v>868</v>
      </c>
      <c r="C81" s="100" t="s">
        <v>869</v>
      </c>
      <c r="D81" s="102" t="s">
        <v>5</v>
      </c>
      <c r="E81" s="102" t="s">
        <v>142</v>
      </c>
      <c r="F81" s="45" t="s">
        <v>130</v>
      </c>
      <c r="G81" s="47">
        <f>74/74*100</f>
        <v>100</v>
      </c>
    </row>
    <row r="82" spans="1:7" ht="33" customHeight="1">
      <c r="A82" s="101"/>
      <c r="B82" s="101"/>
      <c r="C82" s="101"/>
      <c r="D82" s="103"/>
      <c r="E82" s="103"/>
      <c r="F82" s="45" t="s">
        <v>131</v>
      </c>
      <c r="G82" s="47">
        <v>111.11111111111111</v>
      </c>
    </row>
    <row r="83" spans="1:7" ht="15.75" customHeight="1">
      <c r="A83" s="104" t="s">
        <v>119</v>
      </c>
      <c r="B83" s="104" t="s">
        <v>120</v>
      </c>
      <c r="C83" s="104" t="s">
        <v>65</v>
      </c>
      <c r="D83" s="104" t="s">
        <v>121</v>
      </c>
      <c r="E83" s="104" t="s">
        <v>122</v>
      </c>
      <c r="F83" s="45" t="s">
        <v>123</v>
      </c>
      <c r="G83" s="46">
        <v>90</v>
      </c>
    </row>
    <row r="84" spans="1:7" ht="15.75">
      <c r="A84" s="105"/>
      <c r="B84" s="105"/>
      <c r="C84" s="105"/>
      <c r="D84" s="105"/>
      <c r="E84" s="105"/>
      <c r="F84" s="45" t="s">
        <v>124</v>
      </c>
      <c r="G84" s="46">
        <v>90</v>
      </c>
    </row>
    <row r="85" spans="1:7" ht="35.25" customHeight="1">
      <c r="A85" s="100" t="s">
        <v>870</v>
      </c>
      <c r="B85" s="100" t="s">
        <v>871</v>
      </c>
      <c r="C85" s="100" t="s">
        <v>872</v>
      </c>
      <c r="D85" s="102" t="s">
        <v>5</v>
      </c>
      <c r="E85" s="102" t="s">
        <v>167</v>
      </c>
      <c r="F85" s="45" t="s">
        <v>130</v>
      </c>
      <c r="G85" s="47">
        <f>5/5*100</f>
        <v>100</v>
      </c>
    </row>
    <row r="86" spans="1:7" ht="35.25" customHeight="1">
      <c r="A86" s="101"/>
      <c r="B86" s="101"/>
      <c r="C86" s="101"/>
      <c r="D86" s="103"/>
      <c r="E86" s="103"/>
      <c r="F86" s="45" t="s">
        <v>131</v>
      </c>
      <c r="G86" s="47">
        <v>111.11111111111111</v>
      </c>
    </row>
    <row r="87" spans="1:7" ht="15.75">
      <c r="A87" s="96" t="s">
        <v>192</v>
      </c>
      <c r="B87" s="96"/>
      <c r="C87" s="96"/>
      <c r="D87" s="96"/>
      <c r="E87" s="96"/>
      <c r="F87" s="96"/>
      <c r="G87" s="96"/>
    </row>
    <row r="88" spans="1:7" ht="31.5" customHeight="1">
      <c r="A88" s="99" t="str">
        <f>+A31</f>
        <v>Grado de variabilidad en las capacidades institucionales de los organismos garantes de acceso a la información y protección de datos personales en las entidades federativas  (promoción vinculación y capacitación) para garantizar los derecho al acceso a la información, gestión documental y protección de datos personales.</v>
      </c>
      <c r="B88" s="99"/>
      <c r="C88" s="99"/>
      <c r="D88" s="99"/>
      <c r="E88" s="99"/>
      <c r="F88" s="99"/>
      <c r="G88" s="99"/>
    </row>
    <row r="89" spans="1:7" ht="15.75">
      <c r="A89" s="48" t="s">
        <v>193</v>
      </c>
      <c r="B89" s="94" t="s">
        <v>323</v>
      </c>
      <c r="C89" s="94"/>
      <c r="D89" s="94"/>
      <c r="E89" s="94"/>
      <c r="F89" s="94"/>
      <c r="G89" s="94"/>
    </row>
    <row r="90" spans="1:7" ht="15.75">
      <c r="A90" s="49" t="s">
        <v>6</v>
      </c>
      <c r="B90" s="94" t="s">
        <v>323</v>
      </c>
      <c r="C90" s="94"/>
      <c r="D90" s="94"/>
      <c r="E90" s="94"/>
      <c r="F90" s="94"/>
      <c r="G90" s="94"/>
    </row>
    <row r="91" spans="1:7" ht="15.75">
      <c r="A91" s="49" t="s">
        <v>195</v>
      </c>
      <c r="B91" s="95" t="s">
        <v>259</v>
      </c>
      <c r="C91" s="95"/>
      <c r="D91" s="95"/>
      <c r="E91" s="95"/>
      <c r="F91" s="95"/>
      <c r="G91" s="95"/>
    </row>
    <row r="92" spans="1:7" ht="31.5" customHeight="1">
      <c r="A92" s="90" t="str">
        <f>+A37</f>
        <v>Porcentaje de capacidades institucionales de los organismos garantes de acceso a la información y protección de datos personales en las entidades federativas que han mejorado  (promoción vinculación y capacitación) para garantizar los derecho al acceso a la información, gestión documental y protección de datos personales.</v>
      </c>
      <c r="B92" s="90"/>
      <c r="C92" s="90"/>
      <c r="D92" s="90"/>
      <c r="E92" s="90"/>
      <c r="F92" s="90"/>
      <c r="G92" s="90"/>
    </row>
    <row r="93" spans="1:7" ht="31.5" customHeight="1">
      <c r="A93" s="49" t="s">
        <v>193</v>
      </c>
      <c r="B93" s="94" t="s">
        <v>873</v>
      </c>
      <c r="C93" s="94"/>
      <c r="D93" s="94"/>
      <c r="E93" s="94"/>
      <c r="F93" s="94"/>
      <c r="G93" s="94"/>
    </row>
    <row r="94" spans="1:7" ht="31.5" customHeight="1">
      <c r="A94" s="49" t="s">
        <v>6</v>
      </c>
      <c r="B94" s="94" t="s">
        <v>874</v>
      </c>
      <c r="C94" s="94"/>
      <c r="D94" s="94"/>
      <c r="E94" s="94"/>
      <c r="F94" s="94"/>
      <c r="G94" s="94"/>
    </row>
    <row r="95" spans="1:7" ht="31.5" customHeight="1">
      <c r="A95" s="49" t="s">
        <v>195</v>
      </c>
      <c r="B95" s="95" t="s">
        <v>875</v>
      </c>
      <c r="C95" s="95"/>
      <c r="D95" s="95"/>
      <c r="E95" s="95"/>
      <c r="F95" s="95"/>
      <c r="G95" s="95"/>
    </row>
    <row r="96" spans="1:7" ht="15.75">
      <c r="A96" s="90" t="str">
        <f>+A43</f>
        <v>Porcentaje del cumplimiento del Programa de promoción y vinculación con  entidades federativas</v>
      </c>
      <c r="B96" s="90"/>
      <c r="C96" s="90"/>
      <c r="D96" s="90"/>
      <c r="E96" s="90"/>
      <c r="F96" s="90"/>
      <c r="G96" s="90"/>
    </row>
    <row r="97" spans="1:7" ht="15.75">
      <c r="A97" s="49" t="s">
        <v>193</v>
      </c>
      <c r="B97" s="94" t="s">
        <v>876</v>
      </c>
      <c r="C97" s="94"/>
      <c r="D97" s="94"/>
      <c r="E97" s="94"/>
      <c r="F97" s="94"/>
      <c r="G97" s="94"/>
    </row>
    <row r="98" spans="1:7" ht="31.5" customHeight="1">
      <c r="A98" s="49" t="s">
        <v>6</v>
      </c>
      <c r="B98" s="94" t="s">
        <v>877</v>
      </c>
      <c r="C98" s="94"/>
      <c r="D98" s="94"/>
      <c r="E98" s="94"/>
      <c r="F98" s="94"/>
      <c r="G98" s="94"/>
    </row>
    <row r="99" spans="1:7" ht="15.75">
      <c r="A99" s="49" t="s">
        <v>195</v>
      </c>
      <c r="B99" s="95" t="s">
        <v>259</v>
      </c>
      <c r="C99" s="95"/>
      <c r="D99" s="95"/>
      <c r="E99" s="95"/>
      <c r="F99" s="95"/>
      <c r="G99" s="95"/>
    </row>
    <row r="100" spans="1:7" ht="15.75">
      <c r="A100" s="90" t="str">
        <f>+A47</f>
        <v>Porcentaje del cumplimiento del Programa de capacitación a entidades federativas</v>
      </c>
      <c r="B100" s="90"/>
      <c r="C100" s="90"/>
      <c r="D100" s="90"/>
      <c r="E100" s="90"/>
      <c r="F100" s="90"/>
      <c r="G100" s="90"/>
    </row>
    <row r="101" spans="1:7" ht="15.75">
      <c r="A101" s="49" t="s">
        <v>193</v>
      </c>
      <c r="B101" s="94" t="s">
        <v>878</v>
      </c>
      <c r="C101" s="94"/>
      <c r="D101" s="94"/>
      <c r="E101" s="94"/>
      <c r="F101" s="94"/>
      <c r="G101" s="94"/>
    </row>
    <row r="102" spans="1:7" ht="15.75">
      <c r="A102" s="49" t="s">
        <v>6</v>
      </c>
      <c r="B102" s="94" t="s">
        <v>879</v>
      </c>
      <c r="C102" s="94"/>
      <c r="D102" s="94"/>
      <c r="E102" s="94"/>
      <c r="F102" s="94"/>
      <c r="G102" s="94"/>
    </row>
    <row r="103" spans="1:7" ht="15.75">
      <c r="A103" s="49" t="s">
        <v>195</v>
      </c>
      <c r="B103" s="95" t="s">
        <v>259</v>
      </c>
      <c r="C103" s="95"/>
      <c r="D103" s="95"/>
      <c r="E103" s="95"/>
      <c r="F103" s="95"/>
      <c r="G103" s="95"/>
    </row>
    <row r="104" spans="1:7" ht="15.75">
      <c r="A104" s="90" t="str">
        <f>+A53</f>
        <v>Porcentaje de eventos de promoción en materia de transparencia, acceso a la información, protección de datos y gestión documental en las entidades federativas</v>
      </c>
      <c r="B104" s="90"/>
      <c r="C104" s="90"/>
      <c r="D104" s="90"/>
      <c r="E104" s="90"/>
      <c r="F104" s="90"/>
      <c r="G104" s="90"/>
    </row>
    <row r="105" spans="1:7" ht="15.75">
      <c r="A105" s="49" t="s">
        <v>193</v>
      </c>
      <c r="B105" s="94" t="s">
        <v>880</v>
      </c>
      <c r="C105" s="94"/>
      <c r="D105" s="94"/>
      <c r="E105" s="94"/>
      <c r="F105" s="94"/>
      <c r="G105" s="94"/>
    </row>
    <row r="106" spans="1:7" ht="15.75">
      <c r="A106" s="49" t="s">
        <v>6</v>
      </c>
      <c r="B106" s="94" t="s">
        <v>881</v>
      </c>
      <c r="C106" s="94"/>
      <c r="D106" s="94"/>
      <c r="E106" s="94"/>
      <c r="F106" s="94"/>
      <c r="G106" s="94"/>
    </row>
    <row r="107" spans="1:7" ht="15.75">
      <c r="A107" s="49" t="s">
        <v>195</v>
      </c>
      <c r="B107" s="95" t="s">
        <v>259</v>
      </c>
      <c r="C107" s="95"/>
      <c r="D107" s="95"/>
      <c r="E107" s="95"/>
      <c r="F107" s="95"/>
      <c r="G107" s="95"/>
    </row>
    <row r="108" spans="1:7" ht="15.75">
      <c r="A108" s="90" t="str">
        <f>+A57</f>
        <v>Porcentaje de atención a reuniones y eventos convocados en las entidades federativas</v>
      </c>
      <c r="B108" s="90"/>
      <c r="C108" s="90"/>
      <c r="D108" s="90"/>
      <c r="E108" s="90"/>
      <c r="F108" s="90"/>
      <c r="G108" s="90"/>
    </row>
    <row r="109" spans="1:7" ht="15.75">
      <c r="A109" s="49" t="s">
        <v>193</v>
      </c>
      <c r="B109" s="94" t="s">
        <v>882</v>
      </c>
      <c r="C109" s="94"/>
      <c r="D109" s="94"/>
      <c r="E109" s="94"/>
      <c r="F109" s="94"/>
      <c r="G109" s="94"/>
    </row>
    <row r="110" spans="1:7" ht="15.75">
      <c r="A110" s="49" t="s">
        <v>6</v>
      </c>
      <c r="B110" s="94" t="s">
        <v>883</v>
      </c>
      <c r="C110" s="94"/>
      <c r="D110" s="94"/>
      <c r="E110" s="94"/>
      <c r="F110" s="94"/>
      <c r="G110" s="94"/>
    </row>
    <row r="111" spans="1:7" ht="15.75">
      <c r="A111" s="49" t="s">
        <v>195</v>
      </c>
      <c r="B111" s="95" t="s">
        <v>259</v>
      </c>
      <c r="C111" s="95"/>
      <c r="D111" s="95"/>
      <c r="E111" s="95"/>
      <c r="F111" s="95"/>
      <c r="G111" s="95"/>
    </row>
    <row r="112" spans="1:7" ht="15.75">
      <c r="A112" s="90" t="str">
        <f>+A61</f>
        <v>Porcentaje de proyectos de promoción  implementados en coordinación con el Sistema Nacional de Transparencia</v>
      </c>
      <c r="B112" s="90"/>
      <c r="C112" s="90"/>
      <c r="D112" s="90"/>
      <c r="E112" s="90"/>
      <c r="F112" s="90"/>
      <c r="G112" s="90"/>
    </row>
    <row r="113" spans="1:7" ht="15.75">
      <c r="A113" s="49" t="s">
        <v>193</v>
      </c>
      <c r="B113" s="94" t="s">
        <v>884</v>
      </c>
      <c r="C113" s="94"/>
      <c r="D113" s="94"/>
      <c r="E113" s="94"/>
      <c r="F113" s="94"/>
      <c r="G113" s="94"/>
    </row>
    <row r="114" spans="1:7" ht="15.75">
      <c r="A114" s="49" t="s">
        <v>6</v>
      </c>
      <c r="B114" s="94" t="s">
        <v>885</v>
      </c>
      <c r="C114" s="94"/>
      <c r="D114" s="94"/>
      <c r="E114" s="94"/>
      <c r="F114" s="94"/>
      <c r="G114" s="94"/>
    </row>
    <row r="115" spans="1:7" ht="15.75">
      <c r="A115" s="49" t="s">
        <v>195</v>
      </c>
      <c r="B115" s="95" t="s">
        <v>259</v>
      </c>
      <c r="C115" s="95"/>
      <c r="D115" s="95"/>
      <c r="E115" s="95"/>
      <c r="F115" s="95"/>
      <c r="G115" s="95"/>
    </row>
    <row r="116" spans="1:7" ht="15.75">
      <c r="A116" s="90" t="str">
        <f>+A65</f>
        <v>Porcentaje de Concursos Nacionales organizados en coordinación con el Sistema Nacional de Transparencia</v>
      </c>
      <c r="B116" s="90"/>
      <c r="C116" s="90"/>
      <c r="D116" s="90"/>
      <c r="E116" s="90"/>
      <c r="F116" s="90"/>
      <c r="G116" s="90"/>
    </row>
    <row r="117" spans="1:7" ht="15.75">
      <c r="A117" s="49" t="s">
        <v>193</v>
      </c>
      <c r="B117" s="94" t="s">
        <v>886</v>
      </c>
      <c r="C117" s="94"/>
      <c r="D117" s="94"/>
      <c r="E117" s="94"/>
      <c r="F117" s="94"/>
      <c r="G117" s="94"/>
    </row>
    <row r="118" spans="1:7" ht="15.75">
      <c r="A118" s="49" t="s">
        <v>6</v>
      </c>
      <c r="B118" s="94" t="s">
        <v>887</v>
      </c>
      <c r="C118" s="94"/>
      <c r="D118" s="94"/>
      <c r="E118" s="94"/>
      <c r="F118" s="94"/>
      <c r="G118" s="94"/>
    </row>
    <row r="119" spans="1:7" ht="15.75">
      <c r="A119" s="49" t="s">
        <v>195</v>
      </c>
      <c r="B119" s="95" t="s">
        <v>259</v>
      </c>
      <c r="C119" s="95"/>
      <c r="D119" s="95"/>
      <c r="E119" s="95"/>
      <c r="F119" s="95"/>
      <c r="G119" s="95"/>
    </row>
    <row r="120" spans="1:7" ht="15.75">
      <c r="A120" s="90" t="str">
        <f>+A69</f>
        <v>Porcentaje de asesorías, consultorías y reuniones de trabajo realizadas para la armonización de leyes de las entidades federativas</v>
      </c>
      <c r="B120" s="90"/>
      <c r="C120" s="90"/>
      <c r="D120" s="90"/>
      <c r="E120" s="90"/>
      <c r="F120" s="90"/>
      <c r="G120" s="90"/>
    </row>
    <row r="121" spans="1:7" ht="15.75">
      <c r="A121" s="49" t="s">
        <v>193</v>
      </c>
      <c r="B121" s="94" t="s">
        <v>888</v>
      </c>
      <c r="C121" s="94"/>
      <c r="D121" s="94"/>
      <c r="E121" s="94"/>
      <c r="F121" s="94"/>
      <c r="G121" s="94"/>
    </row>
    <row r="122" spans="1:7" ht="15.75">
      <c r="A122" s="49" t="s">
        <v>6</v>
      </c>
      <c r="B122" s="94" t="s">
        <v>889</v>
      </c>
      <c r="C122" s="94"/>
      <c r="D122" s="94"/>
      <c r="E122" s="94"/>
      <c r="F122" s="94"/>
      <c r="G122" s="94"/>
    </row>
    <row r="123" spans="1:7" ht="15.75">
      <c r="A123" s="49" t="s">
        <v>195</v>
      </c>
      <c r="B123" s="95" t="s">
        <v>259</v>
      </c>
      <c r="C123" s="95"/>
      <c r="D123" s="95"/>
      <c r="E123" s="95"/>
      <c r="F123" s="95"/>
      <c r="G123" s="95"/>
    </row>
    <row r="124" spans="1:7" ht="15.75">
      <c r="A124" s="90" t="str">
        <f>+A73</f>
        <v>Número de eventos conmemorativos del Día Internacional de Protección de Datos Personales en el país. La Secretaría de Protección de Datos Personales establece en el primer trimestre del año, el periodo para llevar a cabo los eventos.</v>
      </c>
      <c r="B124" s="90"/>
      <c r="C124" s="90"/>
      <c r="D124" s="90"/>
      <c r="E124" s="90"/>
      <c r="F124" s="90"/>
      <c r="G124" s="90"/>
    </row>
    <row r="125" spans="1:7" ht="15.75">
      <c r="A125" s="49" t="s">
        <v>193</v>
      </c>
      <c r="B125" s="94" t="s">
        <v>890</v>
      </c>
      <c r="C125" s="94"/>
      <c r="D125" s="94"/>
      <c r="E125" s="94"/>
      <c r="F125" s="94"/>
      <c r="G125" s="94"/>
    </row>
    <row r="126" spans="1:7" ht="15.75">
      <c r="A126" s="49" t="s">
        <v>6</v>
      </c>
      <c r="B126" s="94" t="s">
        <v>891</v>
      </c>
      <c r="C126" s="94"/>
      <c r="D126" s="94"/>
      <c r="E126" s="94"/>
      <c r="F126" s="94"/>
      <c r="G126" s="94"/>
    </row>
    <row r="127" spans="1:7" ht="15.75">
      <c r="A127" s="49" t="s">
        <v>195</v>
      </c>
      <c r="B127" s="95" t="s">
        <v>259</v>
      </c>
      <c r="C127" s="95"/>
      <c r="D127" s="95"/>
      <c r="E127" s="95"/>
      <c r="F127" s="95"/>
      <c r="G127" s="95"/>
    </row>
    <row r="128" spans="1:7" ht="15.75">
      <c r="A128" s="90" t="str">
        <f>+A77</f>
        <v>Porcentaje de talleres regionales  organizados en materia de transparencia, acceso a la información, protección de datos personales y temas relacionados  en coordinación con el Sistema Nacional de Transparencia</v>
      </c>
      <c r="B128" s="90"/>
      <c r="C128" s="90"/>
      <c r="D128" s="90"/>
      <c r="E128" s="90"/>
      <c r="F128" s="90"/>
      <c r="G128" s="90"/>
    </row>
    <row r="129" spans="1:7" ht="15.75">
      <c r="A129" s="49" t="s">
        <v>193</v>
      </c>
      <c r="B129" s="94" t="s">
        <v>892</v>
      </c>
      <c r="C129" s="94"/>
      <c r="D129" s="94"/>
      <c r="E129" s="94"/>
      <c r="F129" s="94"/>
      <c r="G129" s="94"/>
    </row>
    <row r="130" spans="1:7" ht="31.5" customHeight="1">
      <c r="A130" s="49" t="s">
        <v>6</v>
      </c>
      <c r="B130" s="94" t="s">
        <v>893</v>
      </c>
      <c r="C130" s="94"/>
      <c r="D130" s="94"/>
      <c r="E130" s="94"/>
      <c r="F130" s="94"/>
      <c r="G130" s="94"/>
    </row>
    <row r="131" spans="1:7" ht="15.75">
      <c r="A131" s="49" t="s">
        <v>195</v>
      </c>
      <c r="B131" s="95" t="s">
        <v>259</v>
      </c>
      <c r="C131" s="95"/>
      <c r="D131" s="95"/>
      <c r="E131" s="95"/>
      <c r="F131" s="95"/>
      <c r="G131" s="95"/>
    </row>
    <row r="132" spans="1:7" ht="15.75">
      <c r="A132" s="90" t="str">
        <f>+A81</f>
        <v>Porcentaje de talleres presenciales  organizados en materia de transparencia, acceso a la información, protección de datos personales y temas relacionados  en coordinación con el Sistema Nacional de Transparencia</v>
      </c>
      <c r="B132" s="90"/>
      <c r="C132" s="90"/>
      <c r="D132" s="90"/>
      <c r="E132" s="90"/>
      <c r="F132" s="90"/>
      <c r="G132" s="90"/>
    </row>
    <row r="133" spans="1:7" ht="15.75">
      <c r="A133" s="49" t="s">
        <v>193</v>
      </c>
      <c r="B133" s="94" t="s">
        <v>894</v>
      </c>
      <c r="C133" s="94"/>
      <c r="D133" s="94"/>
      <c r="E133" s="94"/>
      <c r="F133" s="94"/>
      <c r="G133" s="94"/>
    </row>
    <row r="134" spans="1:7" ht="31.5" customHeight="1">
      <c r="A134" s="49" t="s">
        <v>6</v>
      </c>
      <c r="B134" s="94" t="s">
        <v>895</v>
      </c>
      <c r="C134" s="94"/>
      <c r="D134" s="94"/>
      <c r="E134" s="94"/>
      <c r="F134" s="94"/>
      <c r="G134" s="94"/>
    </row>
    <row r="135" spans="1:7" ht="15.75">
      <c r="A135" s="49" t="s">
        <v>195</v>
      </c>
      <c r="B135" s="95" t="s">
        <v>259</v>
      </c>
      <c r="C135" s="95"/>
      <c r="D135" s="95"/>
      <c r="E135" s="95"/>
      <c r="F135" s="95"/>
      <c r="G135" s="95"/>
    </row>
    <row r="136" spans="1:7" ht="15.75">
      <c r="A136" s="90" t="str">
        <f>+A85</f>
        <v>Porcentaje de acciones de fortalecimiento y acompañamiento a los municipios</v>
      </c>
      <c r="B136" s="90"/>
      <c r="C136" s="90"/>
      <c r="D136" s="90"/>
      <c r="E136" s="90"/>
      <c r="F136" s="90"/>
      <c r="G136" s="90"/>
    </row>
    <row r="137" spans="1:7" ht="15.75">
      <c r="A137" s="49" t="s">
        <v>193</v>
      </c>
      <c r="B137" s="94" t="s">
        <v>896</v>
      </c>
      <c r="C137" s="94"/>
      <c r="D137" s="94"/>
      <c r="E137" s="94"/>
      <c r="F137" s="94"/>
      <c r="G137" s="94"/>
    </row>
    <row r="138" spans="1:7" ht="15.75">
      <c r="A138" s="49" t="s">
        <v>6</v>
      </c>
      <c r="B138" s="94" t="s">
        <v>897</v>
      </c>
      <c r="C138" s="94"/>
      <c r="D138" s="94"/>
      <c r="E138" s="94"/>
      <c r="F138" s="94"/>
      <c r="G138" s="94"/>
    </row>
    <row r="139" spans="1:7" ht="15.75">
      <c r="A139" s="49" t="s">
        <v>195</v>
      </c>
      <c r="B139" s="95" t="s">
        <v>259</v>
      </c>
      <c r="C139" s="95"/>
      <c r="D139" s="95"/>
      <c r="E139" s="95"/>
      <c r="F139" s="95"/>
      <c r="G139" s="95"/>
    </row>
    <row r="140" spans="1:7" ht="15.75">
      <c r="A140" s="146"/>
      <c r="B140" s="146"/>
      <c r="C140" s="146"/>
      <c r="D140" s="146"/>
      <c r="E140" s="146"/>
      <c r="F140" s="146"/>
      <c r="G140" s="146"/>
    </row>
    <row r="141" spans="1:7" ht="15.75">
      <c r="A141" s="96" t="s">
        <v>226</v>
      </c>
      <c r="B141" s="96"/>
      <c r="C141" s="96"/>
      <c r="D141" s="96"/>
      <c r="E141" s="96"/>
      <c r="F141" s="96"/>
      <c r="G141" s="96"/>
    </row>
    <row r="142" spans="1:7" ht="15.75">
      <c r="A142" s="90" t="s">
        <v>860</v>
      </c>
      <c r="B142" s="90"/>
      <c r="C142" s="90"/>
      <c r="D142" s="90"/>
      <c r="E142" s="90"/>
      <c r="F142" s="90"/>
      <c r="G142" s="90"/>
    </row>
    <row r="143" spans="1:7" ht="15.75">
      <c r="A143" s="49" t="s">
        <v>227</v>
      </c>
      <c r="B143" s="91" t="s">
        <v>898</v>
      </c>
      <c r="C143" s="91"/>
      <c r="D143" s="91"/>
      <c r="E143" s="91"/>
      <c r="F143" s="91"/>
      <c r="G143" s="91"/>
    </row>
    <row r="144" spans="1:7" ht="15.75">
      <c r="A144" s="90"/>
      <c r="B144" s="90"/>
      <c r="C144" s="90"/>
      <c r="D144" s="90"/>
      <c r="E144" s="90"/>
      <c r="F144" s="90"/>
      <c r="G144" s="90"/>
    </row>
    <row r="145" spans="1:7" ht="31.5" customHeight="1">
      <c r="A145" s="196" t="s">
        <v>229</v>
      </c>
      <c r="B145" s="197"/>
      <c r="C145" s="197"/>
      <c r="D145" s="197"/>
      <c r="E145" s="197"/>
      <c r="F145" s="197"/>
      <c r="G145" s="197"/>
    </row>
  </sheetData>
  <sheetProtection/>
  <mergeCells count="234">
    <mergeCell ref="A142:G142"/>
    <mergeCell ref="B143:G143"/>
    <mergeCell ref="A144:G144"/>
    <mergeCell ref="A145:G145"/>
    <mergeCell ref="A136:G136"/>
    <mergeCell ref="B137:G137"/>
    <mergeCell ref="B138:G138"/>
    <mergeCell ref="B139:G139"/>
    <mergeCell ref="A140:G140"/>
    <mergeCell ref="A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A88:G88"/>
    <mergeCell ref="B89:G89"/>
    <mergeCell ref="B90:G90"/>
    <mergeCell ref="B91:G91"/>
    <mergeCell ref="A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3" manualBreakCount="3">
    <brk id="44" max="255" man="1"/>
    <brk id="86" max="255" man="1"/>
    <brk id="135" max="255" man="1"/>
  </rowBreaks>
</worksheet>
</file>

<file path=xl/worksheets/sheet26.xml><?xml version="1.0" encoding="utf-8"?>
<worksheet xmlns="http://schemas.openxmlformats.org/spreadsheetml/2006/main" xmlns:r="http://schemas.openxmlformats.org/officeDocument/2006/relationships">
  <dimension ref="A1:G139"/>
  <sheetViews>
    <sheetView tabSelected="1" view="pageBreakPreview" zoomScale="60" zoomScalePageLayoutView="0" workbookViewId="0" topLeftCell="A103">
      <selection activeCell="A29" sqref="A29:A30"/>
    </sheetView>
  </sheetViews>
  <sheetFormatPr defaultColWidth="11.421875" defaultRowHeight="15"/>
  <cols>
    <col min="1" max="3" width="45.7109375" style="60" customWidth="1"/>
    <col min="4" max="4" width="17.140625" style="60" customWidth="1"/>
    <col min="5" max="5" width="26.140625" style="60" customWidth="1"/>
    <col min="6" max="6" width="41.8515625" style="60" customWidth="1"/>
    <col min="7" max="7" width="13.28125" style="63" customWidth="1"/>
    <col min="8" max="16384" width="11.421875" style="60" customWidth="1"/>
  </cols>
  <sheetData>
    <row r="1" spans="1:7" s="58" customFormat="1" ht="34.5">
      <c r="A1" s="143" t="s">
        <v>81</v>
      </c>
      <c r="B1" s="144"/>
      <c r="C1" s="144"/>
      <c r="D1" s="144"/>
      <c r="E1" s="144"/>
      <c r="F1" s="144"/>
      <c r="G1" s="144"/>
    </row>
    <row r="2" spans="1:7" s="58" customFormat="1" ht="37.5">
      <c r="A2" s="145" t="s">
        <v>82</v>
      </c>
      <c r="B2" s="145"/>
      <c r="C2" s="145"/>
      <c r="D2" s="145"/>
      <c r="E2" s="145"/>
      <c r="F2" s="145"/>
      <c r="G2" s="145"/>
    </row>
    <row r="3" s="59" customFormat="1" ht="11.25"/>
    <row r="4" spans="1:7" ht="15" customHeight="1">
      <c r="A4" s="107" t="s">
        <v>83</v>
      </c>
      <c r="B4" s="108"/>
      <c r="C4" s="108"/>
      <c r="D4" s="108"/>
      <c r="E4" s="108"/>
      <c r="F4" s="108"/>
      <c r="G4" s="109"/>
    </row>
    <row r="5" spans="1:7" ht="31.5" customHeight="1">
      <c r="A5" s="137" t="s">
        <v>84</v>
      </c>
      <c r="B5" s="138"/>
      <c r="C5" s="139"/>
      <c r="D5" s="140" t="s">
        <v>749</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903</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213" t="s">
        <v>95</v>
      </c>
      <c r="B11" s="214"/>
      <c r="C11" s="214"/>
      <c r="D11" s="214"/>
      <c r="E11" s="214"/>
      <c r="F11" s="214"/>
      <c r="G11" s="215"/>
    </row>
    <row r="12" spans="1:7" ht="16.5">
      <c r="A12" s="216" t="s">
        <v>96</v>
      </c>
      <c r="B12" s="217"/>
      <c r="C12" s="217"/>
      <c r="D12" s="217"/>
      <c r="E12" s="217"/>
      <c r="F12" s="217"/>
      <c r="G12" s="218"/>
    </row>
    <row r="13" spans="1:7" ht="15.75">
      <c r="A13" s="219" t="s">
        <v>751</v>
      </c>
      <c r="B13" s="220"/>
      <c r="C13" s="220"/>
      <c r="D13" s="220"/>
      <c r="E13" s="220"/>
      <c r="F13" s="220"/>
      <c r="G13" s="221"/>
    </row>
    <row r="14" spans="1:7" ht="16.5">
      <c r="A14" s="61"/>
      <c r="B14" s="217" t="s">
        <v>98</v>
      </c>
      <c r="C14" s="217"/>
      <c r="D14" s="217"/>
      <c r="E14" s="217"/>
      <c r="F14" s="217"/>
      <c r="G14" s="218"/>
    </row>
    <row r="15" spans="1:7" ht="15.75">
      <c r="A15" s="62"/>
      <c r="B15" s="222" t="s">
        <v>832</v>
      </c>
      <c r="C15" s="222"/>
      <c r="D15" s="222"/>
      <c r="E15" s="222"/>
      <c r="F15" s="222"/>
      <c r="G15" s="223"/>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'E003'!B17</f>
        <v>137.99178</v>
      </c>
      <c r="F24" s="43">
        <f>'E003'!C17</f>
        <v>150.04598703</v>
      </c>
      <c r="G24" s="44">
        <f>F24/E24</f>
        <v>1.0873545295958933</v>
      </c>
    </row>
    <row r="25" spans="1:7" ht="15.75">
      <c r="A25" s="123" t="s">
        <v>114</v>
      </c>
      <c r="B25" s="124"/>
      <c r="C25" s="124"/>
      <c r="D25" s="125"/>
      <c r="E25" s="43">
        <f>'E003'!B18</f>
        <v>150.04598703</v>
      </c>
      <c r="F25" s="43">
        <f>'E003'!C18</f>
        <v>150.04598703</v>
      </c>
      <c r="G25" s="44">
        <f>F25/E25</f>
        <v>1</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85</v>
      </c>
    </row>
    <row r="30" spans="1:7" ht="15.75">
      <c r="A30" s="105"/>
      <c r="B30" s="105"/>
      <c r="C30" s="105"/>
      <c r="D30" s="105"/>
      <c r="E30" s="105"/>
      <c r="F30" s="45" t="s">
        <v>124</v>
      </c>
      <c r="G30" s="46">
        <v>85</v>
      </c>
    </row>
    <row r="31" spans="1:7" ht="46.5" customHeight="1">
      <c r="A31" s="100" t="s">
        <v>904</v>
      </c>
      <c r="B31" s="100" t="s">
        <v>905</v>
      </c>
      <c r="C31" s="100" t="s">
        <v>906</v>
      </c>
      <c r="D31" s="102" t="s">
        <v>5</v>
      </c>
      <c r="E31" s="102" t="s">
        <v>129</v>
      </c>
      <c r="F31" s="45" t="s">
        <v>130</v>
      </c>
      <c r="G31" s="47">
        <f>(24/28)*100</f>
        <v>85.71428571428571</v>
      </c>
    </row>
    <row r="32" spans="1:7" ht="46.5" customHeight="1">
      <c r="A32" s="101"/>
      <c r="B32" s="101"/>
      <c r="C32" s="101"/>
      <c r="D32" s="103"/>
      <c r="E32" s="103"/>
      <c r="F32" s="45" t="s">
        <v>131</v>
      </c>
      <c r="G32" s="47">
        <f>(G31/G30)*100</f>
        <v>100.84033613445378</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95</v>
      </c>
    </row>
    <row r="36" spans="1:7" ht="15.75">
      <c r="A36" s="105"/>
      <c r="B36" s="105"/>
      <c r="C36" s="105"/>
      <c r="D36" s="105"/>
      <c r="E36" s="105"/>
      <c r="F36" s="45" t="s">
        <v>124</v>
      </c>
      <c r="G36" s="46">
        <v>95</v>
      </c>
    </row>
    <row r="37" spans="1:7" ht="53.25" customHeight="1">
      <c r="A37" s="100" t="s">
        <v>907</v>
      </c>
      <c r="B37" s="100" t="s">
        <v>908</v>
      </c>
      <c r="C37" s="100" t="s">
        <v>909</v>
      </c>
      <c r="D37" s="102" t="s">
        <v>5</v>
      </c>
      <c r="E37" s="102" t="s">
        <v>129</v>
      </c>
      <c r="F37" s="45" t="s">
        <v>130</v>
      </c>
      <c r="G37" s="47">
        <f>(11/11)*100</f>
        <v>100</v>
      </c>
    </row>
    <row r="38" spans="1:7" ht="53.25" customHeight="1">
      <c r="A38" s="101"/>
      <c r="B38" s="101"/>
      <c r="C38" s="101"/>
      <c r="D38" s="103"/>
      <c r="E38" s="103"/>
      <c r="F38" s="45" t="s">
        <v>131</v>
      </c>
      <c r="G38" s="47">
        <f>(G37/G36)*100</f>
        <v>105.26315789473684</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 r="A41" s="104" t="s">
        <v>119</v>
      </c>
      <c r="B41" s="104" t="s">
        <v>120</v>
      </c>
      <c r="C41" s="104" t="s">
        <v>65</v>
      </c>
      <c r="D41" s="104" t="s">
        <v>121</v>
      </c>
      <c r="E41" s="104" t="s">
        <v>122</v>
      </c>
      <c r="F41" s="45" t="s">
        <v>123</v>
      </c>
      <c r="G41" s="46">
        <v>90</v>
      </c>
    </row>
    <row r="42" spans="1:7" ht="15.75">
      <c r="A42" s="105"/>
      <c r="B42" s="105"/>
      <c r="C42" s="105"/>
      <c r="D42" s="105"/>
      <c r="E42" s="105"/>
      <c r="F42" s="45" t="s">
        <v>124</v>
      </c>
      <c r="G42" s="46">
        <v>90</v>
      </c>
    </row>
    <row r="43" spans="1:7" ht="33" customHeight="1">
      <c r="A43" s="100" t="s">
        <v>910</v>
      </c>
      <c r="B43" s="100" t="s">
        <v>911</v>
      </c>
      <c r="C43" s="100" t="s">
        <v>912</v>
      </c>
      <c r="D43" s="102" t="s">
        <v>5</v>
      </c>
      <c r="E43" s="102" t="s">
        <v>913</v>
      </c>
      <c r="F43" s="45" t="s">
        <v>130</v>
      </c>
      <c r="G43" s="47">
        <f>(4/4)*100</f>
        <v>100</v>
      </c>
    </row>
    <row r="44" spans="1:7" ht="33" customHeight="1">
      <c r="A44" s="101"/>
      <c r="B44" s="101"/>
      <c r="C44" s="101"/>
      <c r="D44" s="103"/>
      <c r="E44" s="103"/>
      <c r="F44" s="45" t="s">
        <v>131</v>
      </c>
      <c r="G44" s="47">
        <f>(G43/G42)*100</f>
        <v>111.11111111111111</v>
      </c>
    </row>
    <row r="45" spans="1:7" ht="15.75">
      <c r="A45" s="104" t="s">
        <v>119</v>
      </c>
      <c r="B45" s="104" t="s">
        <v>120</v>
      </c>
      <c r="C45" s="104" t="s">
        <v>65</v>
      </c>
      <c r="D45" s="104" t="s">
        <v>121</v>
      </c>
      <c r="E45" s="104" t="s">
        <v>122</v>
      </c>
      <c r="F45" s="45" t="s">
        <v>123</v>
      </c>
      <c r="G45" s="46">
        <v>90</v>
      </c>
    </row>
    <row r="46" spans="1:7" ht="15.75">
      <c r="A46" s="105"/>
      <c r="B46" s="105"/>
      <c r="C46" s="105"/>
      <c r="D46" s="105"/>
      <c r="E46" s="105"/>
      <c r="F46" s="45" t="s">
        <v>124</v>
      </c>
      <c r="G46" s="46">
        <v>90</v>
      </c>
    </row>
    <row r="47" spans="1:7" ht="32.25" customHeight="1">
      <c r="A47" s="100" t="s">
        <v>914</v>
      </c>
      <c r="B47" s="100" t="s">
        <v>915</v>
      </c>
      <c r="C47" s="100" t="s">
        <v>916</v>
      </c>
      <c r="D47" s="102" t="s">
        <v>5</v>
      </c>
      <c r="E47" s="102" t="s">
        <v>913</v>
      </c>
      <c r="F47" s="45" t="s">
        <v>130</v>
      </c>
      <c r="G47" s="47">
        <f>(2/2)*100</f>
        <v>100</v>
      </c>
    </row>
    <row r="48" spans="1:7" ht="32.25" customHeight="1">
      <c r="A48" s="101"/>
      <c r="B48" s="101"/>
      <c r="C48" s="101"/>
      <c r="D48" s="103"/>
      <c r="E48" s="103"/>
      <c r="F48" s="45" t="s">
        <v>131</v>
      </c>
      <c r="G48" s="47">
        <f>(G47/G46)*100</f>
        <v>111.11111111111111</v>
      </c>
    </row>
    <row r="49" spans="1:7" ht="15.75">
      <c r="A49" s="104" t="s">
        <v>119</v>
      </c>
      <c r="B49" s="104" t="s">
        <v>120</v>
      </c>
      <c r="C49" s="104" t="s">
        <v>65</v>
      </c>
      <c r="D49" s="104" t="s">
        <v>121</v>
      </c>
      <c r="E49" s="104" t="s">
        <v>122</v>
      </c>
      <c r="F49" s="45" t="s">
        <v>123</v>
      </c>
      <c r="G49" s="46">
        <v>90</v>
      </c>
    </row>
    <row r="50" spans="1:7" ht="15.75">
      <c r="A50" s="105"/>
      <c r="B50" s="105"/>
      <c r="C50" s="105"/>
      <c r="D50" s="105"/>
      <c r="E50" s="105"/>
      <c r="F50" s="45" t="s">
        <v>124</v>
      </c>
      <c r="G50" s="46">
        <v>90</v>
      </c>
    </row>
    <row r="51" spans="1:7" ht="15.75">
      <c r="A51" s="100" t="s">
        <v>917</v>
      </c>
      <c r="B51" s="100" t="s">
        <v>918</v>
      </c>
      <c r="C51" s="100" t="s">
        <v>919</v>
      </c>
      <c r="D51" s="102" t="s">
        <v>5</v>
      </c>
      <c r="E51" s="102" t="s">
        <v>913</v>
      </c>
      <c r="F51" s="45" t="s">
        <v>130</v>
      </c>
      <c r="G51" s="47">
        <f>(28/28)*100</f>
        <v>100</v>
      </c>
    </row>
    <row r="52" spans="1:7" ht="27">
      <c r="A52" s="101"/>
      <c r="B52" s="101"/>
      <c r="C52" s="101"/>
      <c r="D52" s="103"/>
      <c r="E52" s="103"/>
      <c r="F52" s="45" t="s">
        <v>131</v>
      </c>
      <c r="G52" s="47">
        <f>(G51/G50)*100</f>
        <v>111.11111111111111</v>
      </c>
    </row>
    <row r="53" spans="1:7" ht="15.75">
      <c r="A53" s="96" t="s">
        <v>303</v>
      </c>
      <c r="B53" s="96"/>
      <c r="C53" s="96"/>
      <c r="D53" s="96"/>
      <c r="E53" s="96"/>
      <c r="F53" s="96"/>
      <c r="G53" s="96"/>
    </row>
    <row r="54" spans="1:7" ht="15.75">
      <c r="A54" s="106" t="s">
        <v>117</v>
      </c>
      <c r="B54" s="106"/>
      <c r="C54" s="106"/>
      <c r="D54" s="106"/>
      <c r="E54" s="106"/>
      <c r="F54" s="106" t="s">
        <v>118</v>
      </c>
      <c r="G54" s="106"/>
    </row>
    <row r="55" spans="1:7" ht="15.75">
      <c r="A55" s="104" t="s">
        <v>119</v>
      </c>
      <c r="B55" s="104" t="s">
        <v>120</v>
      </c>
      <c r="C55" s="104" t="s">
        <v>65</v>
      </c>
      <c r="D55" s="104" t="s">
        <v>121</v>
      </c>
      <c r="E55" s="104" t="s">
        <v>122</v>
      </c>
      <c r="F55" s="45" t="s">
        <v>123</v>
      </c>
      <c r="G55" s="46">
        <v>100</v>
      </c>
    </row>
    <row r="56" spans="1:7" ht="15.75">
      <c r="A56" s="105"/>
      <c r="B56" s="105"/>
      <c r="C56" s="105"/>
      <c r="D56" s="105"/>
      <c r="E56" s="105"/>
      <c r="F56" s="45" t="s">
        <v>124</v>
      </c>
      <c r="G56" s="46">
        <v>100</v>
      </c>
    </row>
    <row r="57" spans="1:7" ht="30" customHeight="1">
      <c r="A57" s="100" t="s">
        <v>920</v>
      </c>
      <c r="B57" s="100" t="s">
        <v>921</v>
      </c>
      <c r="C57" s="100" t="s">
        <v>922</v>
      </c>
      <c r="D57" s="102" t="s">
        <v>5</v>
      </c>
      <c r="E57" s="102" t="s">
        <v>167</v>
      </c>
      <c r="F57" s="45" t="s">
        <v>130</v>
      </c>
      <c r="G57" s="47">
        <f>(7/7)*100</f>
        <v>100</v>
      </c>
    </row>
    <row r="58" spans="1:7" ht="30" customHeight="1">
      <c r="A58" s="101"/>
      <c r="B58" s="101"/>
      <c r="C58" s="101"/>
      <c r="D58" s="103"/>
      <c r="E58" s="103"/>
      <c r="F58" s="45" t="s">
        <v>131</v>
      </c>
      <c r="G58" s="47">
        <f>(G57/G56)*100</f>
        <v>100</v>
      </c>
    </row>
    <row r="59" spans="1:7" ht="15.75">
      <c r="A59" s="104" t="s">
        <v>119</v>
      </c>
      <c r="B59" s="104" t="s">
        <v>120</v>
      </c>
      <c r="C59" s="104" t="s">
        <v>65</v>
      </c>
      <c r="D59" s="104" t="s">
        <v>121</v>
      </c>
      <c r="E59" s="104" t="s">
        <v>122</v>
      </c>
      <c r="F59" s="45" t="s">
        <v>123</v>
      </c>
      <c r="G59" s="46">
        <v>100</v>
      </c>
    </row>
    <row r="60" spans="1:7" ht="15.75">
      <c r="A60" s="105"/>
      <c r="B60" s="105"/>
      <c r="C60" s="105"/>
      <c r="D60" s="105"/>
      <c r="E60" s="105"/>
      <c r="F60" s="45" t="s">
        <v>124</v>
      </c>
      <c r="G60" s="46">
        <v>100</v>
      </c>
    </row>
    <row r="61" spans="1:7" ht="15.75">
      <c r="A61" s="100" t="s">
        <v>923</v>
      </c>
      <c r="B61" s="100" t="s">
        <v>924</v>
      </c>
      <c r="C61" s="100" t="s">
        <v>925</v>
      </c>
      <c r="D61" s="102" t="s">
        <v>5</v>
      </c>
      <c r="E61" s="102" t="s">
        <v>167</v>
      </c>
      <c r="F61" s="45" t="s">
        <v>130</v>
      </c>
      <c r="G61" s="47">
        <f>(6/6)*100</f>
        <v>100</v>
      </c>
    </row>
    <row r="62" spans="1:7" ht="27">
      <c r="A62" s="101"/>
      <c r="B62" s="101"/>
      <c r="C62" s="101"/>
      <c r="D62" s="103"/>
      <c r="E62" s="103"/>
      <c r="F62" s="45" t="s">
        <v>131</v>
      </c>
      <c r="G62" s="47">
        <f>(G61/G60)*100</f>
        <v>100</v>
      </c>
    </row>
    <row r="63" spans="1:7" ht="15.75">
      <c r="A63" s="104" t="s">
        <v>119</v>
      </c>
      <c r="B63" s="104" t="s">
        <v>120</v>
      </c>
      <c r="C63" s="104" t="s">
        <v>65</v>
      </c>
      <c r="D63" s="104" t="s">
        <v>121</v>
      </c>
      <c r="E63" s="104" t="s">
        <v>122</v>
      </c>
      <c r="F63" s="45" t="s">
        <v>123</v>
      </c>
      <c r="G63" s="46">
        <v>100</v>
      </c>
    </row>
    <row r="64" spans="1:7" ht="15.75">
      <c r="A64" s="105"/>
      <c r="B64" s="105"/>
      <c r="C64" s="105"/>
      <c r="D64" s="105"/>
      <c r="E64" s="105"/>
      <c r="F64" s="45" t="s">
        <v>124</v>
      </c>
      <c r="G64" s="46">
        <v>100</v>
      </c>
    </row>
    <row r="65" spans="1:7" ht="15.75">
      <c r="A65" s="100" t="s">
        <v>926</v>
      </c>
      <c r="B65" s="100" t="s">
        <v>927</v>
      </c>
      <c r="C65" s="100" t="s">
        <v>928</v>
      </c>
      <c r="D65" s="102" t="s">
        <v>5</v>
      </c>
      <c r="E65" s="102" t="s">
        <v>142</v>
      </c>
      <c r="F65" s="45" t="s">
        <v>130</v>
      </c>
      <c r="G65" s="47">
        <f>(5/7)*100</f>
        <v>71.42857142857143</v>
      </c>
    </row>
    <row r="66" spans="1:7" ht="27">
      <c r="A66" s="101"/>
      <c r="B66" s="101"/>
      <c r="C66" s="101"/>
      <c r="D66" s="103"/>
      <c r="E66" s="103"/>
      <c r="F66" s="45" t="s">
        <v>131</v>
      </c>
      <c r="G66" s="47">
        <f>(G65/G64)*100</f>
        <v>71.42857142857143</v>
      </c>
    </row>
    <row r="67" spans="1:7" ht="15.75">
      <c r="A67" s="104" t="s">
        <v>119</v>
      </c>
      <c r="B67" s="104" t="s">
        <v>120</v>
      </c>
      <c r="C67" s="104" t="s">
        <v>65</v>
      </c>
      <c r="D67" s="104" t="s">
        <v>121</v>
      </c>
      <c r="E67" s="104" t="s">
        <v>122</v>
      </c>
      <c r="F67" s="45" t="s">
        <v>123</v>
      </c>
      <c r="G67" s="46">
        <v>100</v>
      </c>
    </row>
    <row r="68" spans="1:7" ht="15.75">
      <c r="A68" s="105"/>
      <c r="B68" s="105"/>
      <c r="C68" s="105"/>
      <c r="D68" s="105"/>
      <c r="E68" s="105"/>
      <c r="F68" s="45" t="s">
        <v>124</v>
      </c>
      <c r="G68" s="46">
        <v>100</v>
      </c>
    </row>
    <row r="69" spans="1:7" ht="40.5" customHeight="1">
      <c r="A69" s="100" t="s">
        <v>929</v>
      </c>
      <c r="B69" s="100" t="s">
        <v>930</v>
      </c>
      <c r="C69" s="100" t="s">
        <v>931</v>
      </c>
      <c r="D69" s="102" t="s">
        <v>5</v>
      </c>
      <c r="E69" s="102" t="s">
        <v>167</v>
      </c>
      <c r="F69" s="45" t="s">
        <v>130</v>
      </c>
      <c r="G69" s="47">
        <f>(400/400)*100</f>
        <v>100</v>
      </c>
    </row>
    <row r="70" spans="1:7" ht="40.5" customHeight="1">
      <c r="A70" s="101"/>
      <c r="B70" s="101"/>
      <c r="C70" s="101"/>
      <c r="D70" s="103"/>
      <c r="E70" s="103"/>
      <c r="F70" s="45" t="s">
        <v>131</v>
      </c>
      <c r="G70" s="47">
        <f>(G69/G68)*100</f>
        <v>100</v>
      </c>
    </row>
    <row r="71" spans="1:7" ht="15.75">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41.25" customHeight="1">
      <c r="A73" s="100" t="s">
        <v>932</v>
      </c>
      <c r="B73" s="100" t="s">
        <v>933</v>
      </c>
      <c r="C73" s="100" t="s">
        <v>934</v>
      </c>
      <c r="D73" s="102" t="s">
        <v>5</v>
      </c>
      <c r="E73" s="102" t="s">
        <v>167</v>
      </c>
      <c r="F73" s="45" t="s">
        <v>130</v>
      </c>
      <c r="G73" s="47">
        <f>(54/54)*100</f>
        <v>100</v>
      </c>
    </row>
    <row r="74" spans="1:7" ht="41.25" customHeight="1">
      <c r="A74" s="101"/>
      <c r="B74" s="101"/>
      <c r="C74" s="101"/>
      <c r="D74" s="103"/>
      <c r="E74" s="103"/>
      <c r="F74" s="45" t="s">
        <v>131</v>
      </c>
      <c r="G74" s="47">
        <f>(G73/G72)*100</f>
        <v>100</v>
      </c>
    </row>
    <row r="75" spans="1:7" ht="15.75">
      <c r="A75" s="104" t="s">
        <v>119</v>
      </c>
      <c r="B75" s="104" t="s">
        <v>120</v>
      </c>
      <c r="C75" s="104" t="s">
        <v>65</v>
      </c>
      <c r="D75" s="104" t="s">
        <v>121</v>
      </c>
      <c r="E75" s="104" t="s">
        <v>122</v>
      </c>
      <c r="F75" s="45" t="s">
        <v>123</v>
      </c>
      <c r="G75" s="46">
        <v>100</v>
      </c>
    </row>
    <row r="76" spans="1:7" ht="15.75">
      <c r="A76" s="105"/>
      <c r="B76" s="105"/>
      <c r="C76" s="105"/>
      <c r="D76" s="105"/>
      <c r="E76" s="105"/>
      <c r="F76" s="45" t="s">
        <v>124</v>
      </c>
      <c r="G76" s="46">
        <v>100</v>
      </c>
    </row>
    <row r="77" spans="1:7" ht="31.5" customHeight="1">
      <c r="A77" s="100" t="s">
        <v>935</v>
      </c>
      <c r="B77" s="100" t="s">
        <v>936</v>
      </c>
      <c r="C77" s="100" t="s">
        <v>937</v>
      </c>
      <c r="D77" s="102" t="s">
        <v>5</v>
      </c>
      <c r="E77" s="102" t="s">
        <v>142</v>
      </c>
      <c r="F77" s="45" t="s">
        <v>130</v>
      </c>
      <c r="G77" s="47">
        <f>(28/28)*100</f>
        <v>100</v>
      </c>
    </row>
    <row r="78" spans="1:7" ht="31.5" customHeight="1">
      <c r="A78" s="101"/>
      <c r="B78" s="101"/>
      <c r="C78" s="101"/>
      <c r="D78" s="103"/>
      <c r="E78" s="103"/>
      <c r="F78" s="45" t="s">
        <v>131</v>
      </c>
      <c r="G78" s="47">
        <f>(G77/G76)*100</f>
        <v>100</v>
      </c>
    </row>
    <row r="79" spans="1:7" ht="15.75">
      <c r="A79" s="104" t="s">
        <v>119</v>
      </c>
      <c r="B79" s="104" t="s">
        <v>120</v>
      </c>
      <c r="C79" s="104" t="s">
        <v>65</v>
      </c>
      <c r="D79" s="104" t="s">
        <v>121</v>
      </c>
      <c r="E79" s="104" t="s">
        <v>122</v>
      </c>
      <c r="F79" s="45" t="s">
        <v>123</v>
      </c>
      <c r="G79" s="46">
        <v>100</v>
      </c>
    </row>
    <row r="80" spans="1:7" ht="15.75">
      <c r="A80" s="105"/>
      <c r="B80" s="105"/>
      <c r="C80" s="105"/>
      <c r="D80" s="105"/>
      <c r="E80" s="105"/>
      <c r="F80" s="45" t="s">
        <v>124</v>
      </c>
      <c r="G80" s="46">
        <v>100</v>
      </c>
    </row>
    <row r="81" spans="1:7" ht="15.75">
      <c r="A81" s="100" t="s">
        <v>938</v>
      </c>
      <c r="B81" s="100" t="s">
        <v>939</v>
      </c>
      <c r="C81" s="100" t="s">
        <v>940</v>
      </c>
      <c r="D81" s="102" t="s">
        <v>5</v>
      </c>
      <c r="E81" s="102" t="s">
        <v>167</v>
      </c>
      <c r="F81" s="45" t="s">
        <v>130</v>
      </c>
      <c r="G81" s="47">
        <f>(2/2)*100</f>
        <v>100</v>
      </c>
    </row>
    <row r="82" spans="1:7" ht="27">
      <c r="A82" s="101"/>
      <c r="B82" s="101"/>
      <c r="C82" s="101"/>
      <c r="D82" s="103"/>
      <c r="E82" s="103"/>
      <c r="F82" s="45" t="s">
        <v>131</v>
      </c>
      <c r="G82" s="47">
        <f>(G81/G80)*100</f>
        <v>100</v>
      </c>
    </row>
    <row r="83" spans="1:7" ht="15.75">
      <c r="A83" s="96" t="s">
        <v>192</v>
      </c>
      <c r="B83" s="96"/>
      <c r="C83" s="96"/>
      <c r="D83" s="96"/>
      <c r="E83" s="96"/>
      <c r="F83" s="96"/>
      <c r="G83" s="96"/>
    </row>
    <row r="84" spans="1:7" ht="15.75">
      <c r="A84" s="99" t="str">
        <f>+A31</f>
        <v>Porcentaje de acuerdos del Sistema Nacional de Transparencia cumplidos por sus integrantes.</v>
      </c>
      <c r="B84" s="99"/>
      <c r="C84" s="99"/>
      <c r="D84" s="99"/>
      <c r="E84" s="99"/>
      <c r="F84" s="99"/>
      <c r="G84" s="99"/>
    </row>
    <row r="85" spans="1:7" ht="31.5" customHeight="1">
      <c r="A85" s="48" t="s">
        <v>193</v>
      </c>
      <c r="B85" s="98" t="s">
        <v>941</v>
      </c>
      <c r="C85" s="98"/>
      <c r="D85" s="98"/>
      <c r="E85" s="98"/>
      <c r="F85" s="98"/>
      <c r="G85" s="98"/>
    </row>
    <row r="86" spans="1:7" ht="15.75">
      <c r="A86" s="49" t="s">
        <v>6</v>
      </c>
      <c r="B86" s="94" t="s">
        <v>942</v>
      </c>
      <c r="C86" s="94"/>
      <c r="D86" s="94"/>
      <c r="E86" s="94"/>
      <c r="F86" s="94"/>
      <c r="G86" s="94"/>
    </row>
    <row r="87" spans="1:7" ht="15.75">
      <c r="A87" s="49" t="s">
        <v>195</v>
      </c>
      <c r="B87" s="95" t="s">
        <v>259</v>
      </c>
      <c r="C87" s="95"/>
      <c r="D87" s="95"/>
      <c r="E87" s="95"/>
      <c r="F87" s="95"/>
      <c r="G87" s="95"/>
    </row>
    <row r="88" spans="1:7" ht="15.75">
      <c r="A88" s="99" t="str">
        <f>+A37</f>
        <v>Porcentaje de propuestas fortalecidas de los integrantes e instancias del Sistema Nacional de Transparencia que llegan a ser parte de instrumentos normativos o de política pública del Sistema.</v>
      </c>
      <c r="B88" s="99"/>
      <c r="C88" s="99"/>
      <c r="D88" s="99"/>
      <c r="E88" s="99"/>
      <c r="F88" s="99"/>
      <c r="G88" s="99"/>
    </row>
    <row r="89" spans="1:7" ht="15.75">
      <c r="A89" s="49" t="s">
        <v>193</v>
      </c>
      <c r="B89" s="94" t="s">
        <v>943</v>
      </c>
      <c r="C89" s="94"/>
      <c r="D89" s="94"/>
      <c r="E89" s="94"/>
      <c r="F89" s="94"/>
      <c r="G89" s="94"/>
    </row>
    <row r="90" spans="1:7" ht="15.75">
      <c r="A90" s="49" t="s">
        <v>6</v>
      </c>
      <c r="B90" s="94" t="s">
        <v>944</v>
      </c>
      <c r="C90" s="94"/>
      <c r="D90" s="94"/>
      <c r="E90" s="94"/>
      <c r="F90" s="94"/>
      <c r="G90" s="94"/>
    </row>
    <row r="91" spans="1:7" ht="15.75">
      <c r="A91" s="49" t="s">
        <v>195</v>
      </c>
      <c r="B91" s="95" t="s">
        <v>259</v>
      </c>
      <c r="C91" s="95"/>
      <c r="D91" s="95"/>
      <c r="E91" s="95"/>
      <c r="F91" s="95"/>
      <c r="G91" s="95"/>
    </row>
    <row r="92" spans="1:7" ht="15.75">
      <c r="A92" s="99" t="str">
        <f>+A43</f>
        <v>Porcentaje de cobertura normativa en materias prioritarias para el funcionamiento del Sistema Nacional de Transparencia</v>
      </c>
      <c r="B92" s="99"/>
      <c r="C92" s="99"/>
      <c r="D92" s="99"/>
      <c r="E92" s="99"/>
      <c r="F92" s="99"/>
      <c r="G92" s="99"/>
    </row>
    <row r="93" spans="1:7" ht="39.75" customHeight="1">
      <c r="A93" s="49" t="s">
        <v>193</v>
      </c>
      <c r="B93" s="98" t="s">
        <v>945</v>
      </c>
      <c r="C93" s="98"/>
      <c r="D93" s="98"/>
      <c r="E93" s="98"/>
      <c r="F93" s="98"/>
      <c r="G93" s="98"/>
    </row>
    <row r="94" spans="1:7" ht="15.75">
      <c r="A94" s="49" t="s">
        <v>6</v>
      </c>
      <c r="B94" s="94" t="s">
        <v>946</v>
      </c>
      <c r="C94" s="94"/>
      <c r="D94" s="94"/>
      <c r="E94" s="94"/>
      <c r="F94" s="94"/>
      <c r="G94" s="94"/>
    </row>
    <row r="95" spans="1:7" ht="15.75">
      <c r="A95" s="49" t="s">
        <v>195</v>
      </c>
      <c r="B95" s="95" t="s">
        <v>259</v>
      </c>
      <c r="C95" s="95"/>
      <c r="D95" s="95"/>
      <c r="E95" s="95"/>
      <c r="F95" s="95"/>
      <c r="G95" s="95"/>
    </row>
    <row r="96" spans="1:7" ht="15.75">
      <c r="A96" s="99" t="str">
        <f>+A47</f>
        <v>Porcentaje de propuestas de instrumentos de política pública del Sistema Nacional de Transparencia con acciones de acompañamiento.</v>
      </c>
      <c r="B96" s="99"/>
      <c r="C96" s="99"/>
      <c r="D96" s="99"/>
      <c r="E96" s="99"/>
      <c r="F96" s="99"/>
      <c r="G96" s="99"/>
    </row>
    <row r="97" spans="1:7" ht="31.5" customHeight="1">
      <c r="A97" s="49" t="s">
        <v>193</v>
      </c>
      <c r="B97" s="94" t="s">
        <v>947</v>
      </c>
      <c r="C97" s="94"/>
      <c r="D97" s="94"/>
      <c r="E97" s="94"/>
      <c r="F97" s="94"/>
      <c r="G97" s="94"/>
    </row>
    <row r="98" spans="1:7" ht="31.5" customHeight="1">
      <c r="A98" s="49" t="s">
        <v>6</v>
      </c>
      <c r="B98" s="94" t="s">
        <v>948</v>
      </c>
      <c r="C98" s="94"/>
      <c r="D98" s="94"/>
      <c r="E98" s="94"/>
      <c r="F98" s="94"/>
      <c r="G98" s="94"/>
    </row>
    <row r="99" spans="1:7" ht="15.75">
      <c r="A99" s="49" t="s">
        <v>195</v>
      </c>
      <c r="B99" s="95" t="s">
        <v>259</v>
      </c>
      <c r="C99" s="95"/>
      <c r="D99" s="95"/>
      <c r="E99" s="95"/>
      <c r="F99" s="95"/>
      <c r="G99" s="95"/>
    </row>
    <row r="100" spans="1:7" ht="15.75">
      <c r="A100" s="99" t="str">
        <f>+A51</f>
        <v>Porcentaje de acuerdos tomados por el Consejo Nacional con acciones de acompañamiento.</v>
      </c>
      <c r="B100" s="99"/>
      <c r="C100" s="99"/>
      <c r="D100" s="99"/>
      <c r="E100" s="99"/>
      <c r="F100" s="99"/>
      <c r="G100" s="99"/>
    </row>
    <row r="101" spans="1:7" ht="15.75">
      <c r="A101" s="49" t="s">
        <v>193</v>
      </c>
      <c r="B101" s="94" t="s">
        <v>949</v>
      </c>
      <c r="C101" s="94"/>
      <c r="D101" s="94"/>
      <c r="E101" s="94"/>
      <c r="F101" s="94"/>
      <c r="G101" s="94"/>
    </row>
    <row r="102" spans="1:7" ht="15.75">
      <c r="A102" s="49" t="s">
        <v>6</v>
      </c>
      <c r="B102" s="94" t="s">
        <v>950</v>
      </c>
      <c r="C102" s="94"/>
      <c r="D102" s="94"/>
      <c r="E102" s="94"/>
      <c r="F102" s="94"/>
      <c r="G102" s="94"/>
    </row>
    <row r="103" spans="1:7" ht="15.75">
      <c r="A103" s="49" t="s">
        <v>195</v>
      </c>
      <c r="B103" s="95" t="s">
        <v>259</v>
      </c>
      <c r="C103" s="95"/>
      <c r="D103" s="95"/>
      <c r="E103" s="95"/>
      <c r="F103" s="95"/>
      <c r="G103" s="95"/>
    </row>
    <row r="104" spans="1:7" ht="15.75">
      <c r="A104" s="99" t="str">
        <f>+A57</f>
        <v>Porcentaje de propuestas de instrumentos normativos  documentadas y listas para su análisis.</v>
      </c>
      <c r="B104" s="99"/>
      <c r="C104" s="99"/>
      <c r="D104" s="99"/>
      <c r="E104" s="99"/>
      <c r="F104" s="99"/>
      <c r="G104" s="99"/>
    </row>
    <row r="105" spans="1:7" ht="15.75">
      <c r="A105" s="49" t="s">
        <v>193</v>
      </c>
      <c r="B105" s="94" t="s">
        <v>951</v>
      </c>
      <c r="C105" s="94"/>
      <c r="D105" s="94"/>
      <c r="E105" s="94"/>
      <c r="F105" s="94"/>
      <c r="G105" s="94"/>
    </row>
    <row r="106" spans="1:7" ht="15.75">
      <c r="A106" s="49" t="s">
        <v>6</v>
      </c>
      <c r="B106" s="94" t="s">
        <v>952</v>
      </c>
      <c r="C106" s="94"/>
      <c r="D106" s="94"/>
      <c r="E106" s="94"/>
      <c r="F106" s="94"/>
      <c r="G106" s="94"/>
    </row>
    <row r="107" spans="1:7" ht="15.75">
      <c r="A107" s="49" t="s">
        <v>195</v>
      </c>
      <c r="B107" s="95" t="s">
        <v>259</v>
      </c>
      <c r="C107" s="95"/>
      <c r="D107" s="95"/>
      <c r="E107" s="95"/>
      <c r="F107" s="95"/>
      <c r="G107" s="95"/>
    </row>
    <row r="108" spans="1:7" ht="15.75">
      <c r="A108" s="99" t="str">
        <f>+A61</f>
        <v>Porcentaje de instrumentos normativos dictaminados respecto del total.</v>
      </c>
      <c r="B108" s="99"/>
      <c r="C108" s="99"/>
      <c r="D108" s="99"/>
      <c r="E108" s="99"/>
      <c r="F108" s="99"/>
      <c r="G108" s="99"/>
    </row>
    <row r="109" spans="1:7" ht="15.75">
      <c r="A109" s="49" t="s">
        <v>193</v>
      </c>
      <c r="B109" s="94" t="s">
        <v>953</v>
      </c>
      <c r="C109" s="94"/>
      <c r="D109" s="94"/>
      <c r="E109" s="94"/>
      <c r="F109" s="94"/>
      <c r="G109" s="94"/>
    </row>
    <row r="110" spans="1:7" ht="15.75">
      <c r="A110" s="49" t="s">
        <v>6</v>
      </c>
      <c r="B110" s="94" t="s">
        <v>954</v>
      </c>
      <c r="C110" s="94"/>
      <c r="D110" s="94"/>
      <c r="E110" s="94"/>
      <c r="F110" s="94"/>
      <c r="G110" s="94"/>
    </row>
    <row r="111" spans="1:7" ht="15.75">
      <c r="A111" s="49" t="s">
        <v>195</v>
      </c>
      <c r="B111" s="95"/>
      <c r="C111" s="95"/>
      <c r="D111" s="95"/>
      <c r="E111" s="95"/>
      <c r="F111" s="95"/>
      <c r="G111" s="95"/>
    </row>
    <row r="112" spans="1:7" ht="15.75">
      <c r="A112" s="99" t="str">
        <f>+A65</f>
        <v>Porcentaje de instrumentos normativos publicados.</v>
      </c>
      <c r="B112" s="99"/>
      <c r="C112" s="99"/>
      <c r="D112" s="99"/>
      <c r="E112" s="99"/>
      <c r="F112" s="99"/>
      <c r="G112" s="99"/>
    </row>
    <row r="113" spans="1:7" ht="31.5" customHeight="1">
      <c r="A113" s="49" t="s">
        <v>193</v>
      </c>
      <c r="B113" s="94" t="s">
        <v>955</v>
      </c>
      <c r="C113" s="94"/>
      <c r="D113" s="94"/>
      <c r="E113" s="94"/>
      <c r="F113" s="94"/>
      <c r="G113" s="94"/>
    </row>
    <row r="114" spans="1:7" ht="31.5" customHeight="1">
      <c r="A114" s="49" t="s">
        <v>6</v>
      </c>
      <c r="B114" s="98" t="s">
        <v>956</v>
      </c>
      <c r="C114" s="98"/>
      <c r="D114" s="98"/>
      <c r="E114" s="98"/>
      <c r="F114" s="98"/>
      <c r="G114" s="98"/>
    </row>
    <row r="115" spans="1:7" ht="31.5" customHeight="1">
      <c r="A115" s="49" t="s">
        <v>195</v>
      </c>
      <c r="B115" s="95" t="s">
        <v>957</v>
      </c>
      <c r="C115" s="95"/>
      <c r="D115" s="95"/>
      <c r="E115" s="95"/>
      <c r="F115" s="95"/>
      <c r="G115" s="95"/>
    </row>
    <row r="116" spans="1:7" ht="15.75">
      <c r="A116" s="99" t="str">
        <f>+A69</f>
        <v>Porcentaje de contenidos enviados por los integrantes del Sistema Nacional de Transparencia analizados para su integración en las propuestas de instrumentos de política pública.</v>
      </c>
      <c r="B116" s="99"/>
      <c r="C116" s="99"/>
      <c r="D116" s="99"/>
      <c r="E116" s="99"/>
      <c r="F116" s="99"/>
      <c r="G116" s="99"/>
    </row>
    <row r="117" spans="1:7" ht="42.75" customHeight="1">
      <c r="A117" s="49" t="s">
        <v>193</v>
      </c>
      <c r="B117" s="98" t="s">
        <v>958</v>
      </c>
      <c r="C117" s="98"/>
      <c r="D117" s="98"/>
      <c r="E117" s="98"/>
      <c r="F117" s="98"/>
      <c r="G117" s="98"/>
    </row>
    <row r="118" spans="1:7" ht="15.75">
      <c r="A118" s="49" t="s">
        <v>6</v>
      </c>
      <c r="B118" s="98" t="s">
        <v>959</v>
      </c>
      <c r="C118" s="98"/>
      <c r="D118" s="98"/>
      <c r="E118" s="98"/>
      <c r="F118" s="98"/>
      <c r="G118" s="98"/>
    </row>
    <row r="119" spans="1:7" ht="15.75">
      <c r="A119" s="49" t="s">
        <v>195</v>
      </c>
      <c r="B119" s="95" t="s">
        <v>259</v>
      </c>
      <c r="C119" s="95"/>
      <c r="D119" s="95"/>
      <c r="E119" s="95"/>
      <c r="F119" s="95"/>
      <c r="G119" s="95"/>
    </row>
    <row r="120" spans="1:7" ht="15.75">
      <c r="A120" s="99" t="str">
        <f>+A73</f>
        <v>Porcentaje de actividades realizadas por las instancias del Sistema Nacional de Transparencia que cuentan con el acompañamiento de la Dirección General Técnica, Seguimiento y Normatividad</v>
      </c>
      <c r="B120" s="99"/>
      <c r="C120" s="99"/>
      <c r="D120" s="99"/>
      <c r="E120" s="99"/>
      <c r="F120" s="99"/>
      <c r="G120" s="99"/>
    </row>
    <row r="121" spans="1:7" ht="31.5" customHeight="1">
      <c r="A121" s="49" t="s">
        <v>193</v>
      </c>
      <c r="B121" s="94" t="s">
        <v>960</v>
      </c>
      <c r="C121" s="94"/>
      <c r="D121" s="94"/>
      <c r="E121" s="94"/>
      <c r="F121" s="94"/>
      <c r="G121" s="94"/>
    </row>
    <row r="122" spans="1:7" ht="31.5" customHeight="1">
      <c r="A122" s="49" t="s">
        <v>6</v>
      </c>
      <c r="B122" s="94" t="s">
        <v>961</v>
      </c>
      <c r="C122" s="94"/>
      <c r="D122" s="94"/>
      <c r="E122" s="94"/>
      <c r="F122" s="94"/>
      <c r="G122" s="94"/>
    </row>
    <row r="123" spans="1:7" ht="15.75">
      <c r="A123" s="49" t="s">
        <v>195</v>
      </c>
      <c r="B123" s="95" t="s">
        <v>259</v>
      </c>
      <c r="C123" s="95"/>
      <c r="D123" s="95"/>
      <c r="E123" s="95"/>
      <c r="F123" s="95"/>
      <c r="G123" s="95"/>
    </row>
    <row r="124" spans="1:7" ht="15.75">
      <c r="A124" s="99" t="str">
        <f>+A77</f>
        <v>Porcentaje de acuerdos del Consejo Nacional del Sistema Nacional de Transparencia con acciones de verificación desde la Dirección General Técnica Seguimiento y Normatividad.</v>
      </c>
      <c r="B124" s="99"/>
      <c r="C124" s="99"/>
      <c r="D124" s="99"/>
      <c r="E124" s="99"/>
      <c r="F124" s="99"/>
      <c r="G124" s="99"/>
    </row>
    <row r="125" spans="1:7" ht="31.5" customHeight="1">
      <c r="A125" s="49" t="s">
        <v>193</v>
      </c>
      <c r="B125" s="94" t="s">
        <v>962</v>
      </c>
      <c r="C125" s="94"/>
      <c r="D125" s="94"/>
      <c r="E125" s="94"/>
      <c r="F125" s="94"/>
      <c r="G125" s="94"/>
    </row>
    <row r="126" spans="1:7" ht="31.5" customHeight="1">
      <c r="A126" s="49" t="s">
        <v>6</v>
      </c>
      <c r="B126" s="94" t="s">
        <v>963</v>
      </c>
      <c r="C126" s="94"/>
      <c r="D126" s="94"/>
      <c r="E126" s="94"/>
      <c r="F126" s="94"/>
      <c r="G126" s="94"/>
    </row>
    <row r="127" spans="1:7" ht="15.75">
      <c r="A127" s="49" t="s">
        <v>195</v>
      </c>
      <c r="B127" s="95" t="s">
        <v>259</v>
      </c>
      <c r="C127" s="95"/>
      <c r="D127" s="95"/>
      <c r="E127" s="95"/>
      <c r="F127" s="95"/>
      <c r="G127" s="95"/>
    </row>
    <row r="128" spans="1:7" ht="15.75">
      <c r="A128" s="99" t="str">
        <f>+A81</f>
        <v>Porcentaje de informes elaborados sobre el Sistema Nacional de Transparencia.</v>
      </c>
      <c r="B128" s="99"/>
      <c r="C128" s="99"/>
      <c r="D128" s="99"/>
      <c r="E128" s="99"/>
      <c r="F128" s="99"/>
      <c r="G128" s="99"/>
    </row>
    <row r="129" spans="1:7" ht="31.5" customHeight="1">
      <c r="A129" s="49" t="s">
        <v>193</v>
      </c>
      <c r="B129" s="98" t="s">
        <v>964</v>
      </c>
      <c r="C129" s="98"/>
      <c r="D129" s="98"/>
      <c r="E129" s="98"/>
      <c r="F129" s="98"/>
      <c r="G129" s="98"/>
    </row>
    <row r="130" spans="1:7" ht="15.75">
      <c r="A130" s="49" t="s">
        <v>6</v>
      </c>
      <c r="B130" s="98" t="s">
        <v>965</v>
      </c>
      <c r="C130" s="98"/>
      <c r="D130" s="98"/>
      <c r="E130" s="98"/>
      <c r="F130" s="98"/>
      <c r="G130" s="98"/>
    </row>
    <row r="131" spans="1:7" ht="15.75">
      <c r="A131" s="49" t="s">
        <v>195</v>
      </c>
      <c r="B131" s="95" t="s">
        <v>259</v>
      </c>
      <c r="C131" s="95"/>
      <c r="D131" s="95"/>
      <c r="E131" s="95"/>
      <c r="F131" s="95"/>
      <c r="G131" s="95"/>
    </row>
    <row r="132" spans="1:7" ht="15.75">
      <c r="A132" s="146"/>
      <c r="B132" s="146"/>
      <c r="C132" s="146"/>
      <c r="D132" s="146"/>
      <c r="E132" s="146"/>
      <c r="F132" s="146"/>
      <c r="G132" s="146"/>
    </row>
    <row r="133" spans="1:7" ht="15.75">
      <c r="A133" s="96" t="s">
        <v>226</v>
      </c>
      <c r="B133" s="96"/>
      <c r="C133" s="96"/>
      <c r="D133" s="96"/>
      <c r="E133" s="96"/>
      <c r="F133" s="96"/>
      <c r="G133" s="96"/>
    </row>
    <row r="134" spans="1:7" ht="15.75">
      <c r="A134" s="90" t="s">
        <v>926</v>
      </c>
      <c r="B134" s="90"/>
      <c r="C134" s="90"/>
      <c r="D134" s="90"/>
      <c r="E134" s="90"/>
      <c r="F134" s="90"/>
      <c r="G134" s="90"/>
    </row>
    <row r="135" spans="1:7" ht="42" customHeight="1">
      <c r="A135" s="49" t="s">
        <v>227</v>
      </c>
      <c r="B135" s="91" t="s">
        <v>966</v>
      </c>
      <c r="C135" s="91"/>
      <c r="D135" s="91"/>
      <c r="E135" s="91"/>
      <c r="F135" s="91"/>
      <c r="G135" s="91"/>
    </row>
    <row r="136" spans="1:7" ht="15.75">
      <c r="A136" s="90" t="s">
        <v>935</v>
      </c>
      <c r="B136" s="90"/>
      <c r="C136" s="90"/>
      <c r="D136" s="90"/>
      <c r="E136" s="90"/>
      <c r="F136" s="90"/>
      <c r="G136" s="90"/>
    </row>
    <row r="137" spans="1:7" ht="37.5" customHeight="1">
      <c r="A137" s="49" t="s">
        <v>227</v>
      </c>
      <c r="B137" s="91" t="s">
        <v>967</v>
      </c>
      <c r="C137" s="91"/>
      <c r="D137" s="91"/>
      <c r="E137" s="91"/>
      <c r="F137" s="91"/>
      <c r="G137" s="91"/>
    </row>
    <row r="138" spans="1:7" ht="15.75">
      <c r="A138" s="90"/>
      <c r="B138" s="90"/>
      <c r="C138" s="90"/>
      <c r="D138" s="90"/>
      <c r="E138" s="90"/>
      <c r="F138" s="90"/>
      <c r="G138" s="90"/>
    </row>
    <row r="139" spans="1:7" ht="31.5" customHeight="1">
      <c r="A139" s="93" t="s">
        <v>229</v>
      </c>
      <c r="B139" s="93"/>
      <c r="C139" s="93"/>
      <c r="D139" s="93"/>
      <c r="E139" s="93"/>
      <c r="F139" s="93"/>
      <c r="G139" s="93"/>
    </row>
  </sheetData>
  <sheetProtection/>
  <mergeCells count="222">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8:G138"/>
    <mergeCell ref="A139:G139"/>
    <mergeCell ref="A132:G132"/>
    <mergeCell ref="A133:G133"/>
    <mergeCell ref="A134:G134"/>
    <mergeCell ref="B135:G135"/>
    <mergeCell ref="A136:G136"/>
    <mergeCell ref="B137:G137"/>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3" manualBreakCount="3">
    <brk id="44" max="255" man="1"/>
    <brk id="90" max="6" man="1"/>
    <brk id="132" max="255" man="1"/>
  </rowBreaks>
</worksheet>
</file>

<file path=xl/worksheets/sheet27.xml><?xml version="1.0" encoding="utf-8"?>
<worksheet xmlns="http://schemas.openxmlformats.org/spreadsheetml/2006/main" xmlns:r="http://schemas.openxmlformats.org/officeDocument/2006/relationships">
  <sheetPr>
    <tabColor rgb="FF00853F"/>
  </sheetPr>
  <dimension ref="A2:G24"/>
  <sheetViews>
    <sheetView showGridLines="0" tabSelected="1" zoomScalePageLayoutView="0" workbookViewId="0" topLeftCell="A1">
      <selection activeCell="A29" sqref="A29:A30"/>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78" t="s">
        <v>0</v>
      </c>
      <c r="B2" s="79"/>
      <c r="C2" s="82" t="s">
        <v>81</v>
      </c>
      <c r="D2" s="82"/>
      <c r="E2" s="82"/>
    </row>
    <row r="3" spans="1:5" ht="25.5" customHeight="1" thickBot="1">
      <c r="A3" s="80"/>
      <c r="B3" s="81"/>
      <c r="C3" s="83"/>
      <c r="D3" s="83"/>
      <c r="E3" s="83"/>
    </row>
    <row r="4" ht="15.75" thickTop="1"/>
    <row r="8" spans="1:5" ht="40.5" customHeight="1">
      <c r="A8" s="212" t="s">
        <v>29</v>
      </c>
      <c r="B8" s="212"/>
      <c r="C8" s="212"/>
      <c r="D8" s="212"/>
      <c r="E8" s="212"/>
    </row>
    <row r="9" spans="1:5" ht="29.25" customHeight="1">
      <c r="A9" s="212"/>
      <c r="B9" s="212"/>
      <c r="C9" s="212"/>
      <c r="D9" s="212"/>
      <c r="E9" s="212"/>
    </row>
    <row r="10" spans="1:5" ht="15">
      <c r="A10" s="212" t="s">
        <v>8</v>
      </c>
      <c r="B10" s="212"/>
      <c r="C10" s="212"/>
      <c r="D10" s="212"/>
      <c r="E10" s="212"/>
    </row>
    <row r="11" spans="1:5" ht="15">
      <c r="A11" s="212"/>
      <c r="B11" s="212"/>
      <c r="C11" s="212"/>
      <c r="D11" s="212"/>
      <c r="E11" s="212"/>
    </row>
    <row r="12" spans="1:5" ht="15">
      <c r="A12" s="212"/>
      <c r="B12" s="212"/>
      <c r="C12" s="212"/>
      <c r="D12" s="212"/>
      <c r="E12" s="212"/>
    </row>
    <row r="13" spans="1:5" ht="27.75">
      <c r="A13" s="194"/>
      <c r="B13" s="194"/>
      <c r="C13" s="194"/>
      <c r="D13" s="194"/>
      <c r="E13" s="194"/>
    </row>
    <row r="14" spans="1:7" s="2" customFormat="1" ht="19.5">
      <c r="A14"/>
      <c r="B14" s="1" t="s">
        <v>1</v>
      </c>
      <c r="C14" s="1" t="s">
        <v>9</v>
      </c>
      <c r="D14" s="1" t="s">
        <v>10</v>
      </c>
      <c r="G14" s="3"/>
    </row>
    <row r="15" spans="1:7" s="2" customFormat="1" ht="19.5">
      <c r="A15"/>
      <c r="B15" s="1" t="s">
        <v>2</v>
      </c>
      <c r="C15" s="1" t="s">
        <v>2</v>
      </c>
      <c r="D15" s="1" t="s">
        <v>11</v>
      </c>
      <c r="G15" s="3"/>
    </row>
    <row r="16" spans="1:7" s="2" customFormat="1" ht="19.5">
      <c r="A16"/>
      <c r="B16" s="1"/>
      <c r="C16" s="1"/>
      <c r="D16" s="1"/>
      <c r="G16" s="3"/>
    </row>
    <row r="17" spans="1:7" s="2" customFormat="1" ht="21">
      <c r="A17" s="4" t="s">
        <v>3</v>
      </c>
      <c r="B17" s="5">
        <v>61.66549</v>
      </c>
      <c r="C17" s="5">
        <v>67.23850594999999</v>
      </c>
      <c r="D17" s="6">
        <f>(C17)/B17</f>
        <v>1.0903749560734861</v>
      </c>
      <c r="G17" s="3"/>
    </row>
    <row r="18" spans="1:7" s="2" customFormat="1" ht="21">
      <c r="A18" s="4" t="s">
        <v>4</v>
      </c>
      <c r="B18" s="5">
        <v>67.23850595</v>
      </c>
      <c r="C18" s="5">
        <v>67.23850594999999</v>
      </c>
      <c r="D18" s="6">
        <f>(C18)/B18</f>
        <v>0.9999999999999998</v>
      </c>
      <c r="G18" s="3"/>
    </row>
    <row r="19" spans="2:4" ht="15">
      <c r="B19" s="7"/>
      <c r="C19" s="7"/>
      <c r="D19" s="7"/>
    </row>
    <row r="21" spans="1:5" ht="63.75" customHeight="1">
      <c r="A21" s="89" t="s">
        <v>78</v>
      </c>
      <c r="B21" s="89"/>
      <c r="C21" s="89"/>
      <c r="D21" s="89"/>
      <c r="E21" s="89"/>
    </row>
    <row r="22" spans="1:5" ht="19.5">
      <c r="A22" s="87" t="s">
        <v>30</v>
      </c>
      <c r="B22" s="87"/>
      <c r="C22" s="87"/>
      <c r="D22" s="87"/>
      <c r="E22" s="87"/>
    </row>
    <row r="23" spans="1:5" ht="19.5">
      <c r="A23" s="87" t="s">
        <v>31</v>
      </c>
      <c r="B23" s="87"/>
      <c r="C23" s="87"/>
      <c r="D23" s="87"/>
      <c r="E23" s="87"/>
    </row>
    <row r="24" spans="1:6" ht="19.5">
      <c r="A24" s="224"/>
      <c r="B24" s="224"/>
      <c r="C24" s="224"/>
      <c r="D24" s="224"/>
      <c r="E24" s="224"/>
      <c r="F24" s="224"/>
    </row>
  </sheetData>
  <sheetProtection/>
  <mergeCells count="9">
    <mergeCell ref="A22:E22"/>
    <mergeCell ref="A23:E23"/>
    <mergeCell ref="A24:F24"/>
    <mergeCell ref="A2:B3"/>
    <mergeCell ref="C2:E3"/>
    <mergeCell ref="A8:E9"/>
    <mergeCell ref="A10:E12"/>
    <mergeCell ref="A13:E13"/>
    <mergeCell ref="A21:E21"/>
  </mergeCells>
  <hyperlinks>
    <hyperlink ref="A22:E22" location="DGAJ!A1" display="Dirección General de Asuntos Jurídicos"/>
    <hyperlink ref="A23:E23" location="DGPDI!A1" display="Dirección General de Planeación y Desempeño Institucional"/>
  </hyperlinks>
  <printOptions horizontalCentered="1"/>
  <pageMargins left="0.7480314960629921" right="0.7480314960629921" top="0.984251968503937" bottom="0.984251968503937" header="0.5118110236220472" footer="0.5118110236220472"/>
  <pageSetup horizontalDpi="600" verticalDpi="600" orientation="landscape" scale="63" r:id="rId1"/>
</worksheet>
</file>

<file path=xl/worksheets/sheet28.xml><?xml version="1.0" encoding="utf-8"?>
<worksheet xmlns="http://schemas.openxmlformats.org/spreadsheetml/2006/main" xmlns:r="http://schemas.openxmlformats.org/officeDocument/2006/relationships">
  <dimension ref="A1:G193"/>
  <sheetViews>
    <sheetView showGridLines="0" tabSelected="1" view="pageBreakPreview" zoomScale="70" zoomScaleSheetLayoutView="70" zoomScalePageLayoutView="0" workbookViewId="0" topLeftCell="A160">
      <selection activeCell="A29" sqref="A29:A30"/>
    </sheetView>
  </sheetViews>
  <sheetFormatPr defaultColWidth="11.421875" defaultRowHeight="15"/>
  <cols>
    <col min="1" max="3" width="45.7109375" style="25" customWidth="1"/>
    <col min="4" max="4" width="17.140625" style="25" customWidth="1"/>
    <col min="5" max="5" width="26.140625" style="25" customWidth="1"/>
    <col min="6" max="6" width="41.8515625" style="25" customWidth="1"/>
    <col min="7" max="7" width="13.28125" style="25" customWidth="1"/>
    <col min="8" max="16384" width="11.421875" style="25" customWidth="1"/>
  </cols>
  <sheetData>
    <row r="1" spans="1:7" s="21" customFormat="1" ht="34.5">
      <c r="A1" s="143" t="s">
        <v>81</v>
      </c>
      <c r="B1" s="144"/>
      <c r="C1" s="144"/>
      <c r="D1" s="144"/>
      <c r="E1" s="144"/>
      <c r="F1" s="144"/>
      <c r="G1" s="144"/>
    </row>
    <row r="2" spans="1:7" s="21" customFormat="1" ht="37.5">
      <c r="A2" s="145" t="s">
        <v>82</v>
      </c>
      <c r="B2" s="145"/>
      <c r="C2" s="145"/>
      <c r="D2" s="145"/>
      <c r="E2" s="145"/>
      <c r="F2" s="145"/>
      <c r="G2" s="145"/>
    </row>
    <row r="3" s="22" customFormat="1" ht="11.25"/>
    <row r="4" spans="1:7" ht="15.75">
      <c r="A4" s="107" t="s">
        <v>83</v>
      </c>
      <c r="B4" s="108"/>
      <c r="C4" s="108"/>
      <c r="D4" s="108"/>
      <c r="E4" s="108"/>
      <c r="F4" s="108"/>
      <c r="G4" s="109"/>
    </row>
    <row r="5" spans="1:7" ht="30" customHeight="1">
      <c r="A5" s="137" t="s">
        <v>84</v>
      </c>
      <c r="B5" s="138"/>
      <c r="C5" s="139"/>
      <c r="D5" s="140" t="s">
        <v>85</v>
      </c>
      <c r="E5" s="141"/>
      <c r="F5" s="141"/>
      <c r="G5" s="142"/>
    </row>
    <row r="6" spans="1:7" ht="30" customHeight="1">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91</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5.75">
      <c r="A11" s="225" t="s">
        <v>95</v>
      </c>
      <c r="B11" s="226"/>
      <c r="C11" s="226"/>
      <c r="D11" s="226"/>
      <c r="E11" s="226"/>
      <c r="F11" s="226"/>
      <c r="G11" s="227"/>
    </row>
    <row r="12" spans="1:7" ht="15.75">
      <c r="A12" s="228" t="s">
        <v>96</v>
      </c>
      <c r="B12" s="229"/>
      <c r="C12" s="229"/>
      <c r="D12" s="229"/>
      <c r="E12" s="229"/>
      <c r="F12" s="229"/>
      <c r="G12" s="230"/>
    </row>
    <row r="13" spans="1:7" ht="15.75">
      <c r="A13" s="231" t="s">
        <v>97</v>
      </c>
      <c r="B13" s="232"/>
      <c r="C13" s="232"/>
      <c r="D13" s="232"/>
      <c r="E13" s="232"/>
      <c r="F13" s="232"/>
      <c r="G13" s="233"/>
    </row>
    <row r="14" spans="1:7" ht="15.75">
      <c r="A14" s="23"/>
      <c r="B14" s="229" t="s">
        <v>98</v>
      </c>
      <c r="C14" s="229"/>
      <c r="D14" s="229"/>
      <c r="E14" s="229"/>
      <c r="F14" s="229"/>
      <c r="G14" s="230"/>
    </row>
    <row r="15" spans="1:7" ht="15.75">
      <c r="A15" s="24"/>
      <c r="B15" s="234" t="s">
        <v>99</v>
      </c>
      <c r="C15" s="234"/>
      <c r="D15" s="234"/>
      <c r="E15" s="234"/>
      <c r="F15" s="234"/>
      <c r="G15" s="235"/>
    </row>
    <row r="16" spans="1:7" ht="15.75">
      <c r="A16" s="107" t="s">
        <v>100</v>
      </c>
      <c r="B16" s="108"/>
      <c r="C16" s="108"/>
      <c r="D16" s="108"/>
      <c r="E16" s="108"/>
      <c r="F16" s="108"/>
      <c r="G16" s="109"/>
    </row>
    <row r="17" spans="1:7" ht="15.75">
      <c r="A17" s="140" t="s">
        <v>101</v>
      </c>
      <c r="B17" s="142"/>
      <c r="C17" s="236" t="s">
        <v>102</v>
      </c>
      <c r="D17" s="237"/>
      <c r="E17" s="237"/>
      <c r="F17" s="237"/>
      <c r="G17" s="238"/>
    </row>
    <row r="18" spans="1:7" ht="15.75">
      <c r="A18" s="140" t="s">
        <v>103</v>
      </c>
      <c r="B18" s="142"/>
      <c r="C18" s="236" t="s">
        <v>104</v>
      </c>
      <c r="D18" s="237"/>
      <c r="E18" s="237"/>
      <c r="F18" s="237"/>
      <c r="G18" s="238"/>
    </row>
    <row r="19" spans="1:7" ht="15.75">
      <c r="A19" s="140" t="s">
        <v>105</v>
      </c>
      <c r="B19" s="142"/>
      <c r="C19" s="236" t="s">
        <v>106</v>
      </c>
      <c r="D19" s="237"/>
      <c r="E19" s="237"/>
      <c r="F19" s="237"/>
      <c r="G19" s="238"/>
    </row>
    <row r="20" spans="1:7" ht="15.75">
      <c r="A20" s="140" t="s">
        <v>107</v>
      </c>
      <c r="B20" s="142"/>
      <c r="C20" s="236" t="s">
        <v>108</v>
      </c>
      <c r="D20" s="237"/>
      <c r="E20" s="237"/>
      <c r="F20" s="237"/>
      <c r="G20" s="238"/>
    </row>
    <row r="21" spans="1:7" ht="15.75">
      <c r="A21" s="115" t="s">
        <v>109</v>
      </c>
      <c r="B21" s="115"/>
      <c r="C21" s="116"/>
      <c r="D21" s="116"/>
      <c r="E21" s="116"/>
      <c r="F21" s="116"/>
      <c r="G21" s="116"/>
    </row>
    <row r="22" spans="1:7" ht="15.75">
      <c r="A22" s="117"/>
      <c r="B22" s="118"/>
      <c r="C22" s="118"/>
      <c r="D22" s="119"/>
      <c r="E22" s="26" t="s">
        <v>1</v>
      </c>
      <c r="F22" s="26" t="s">
        <v>110</v>
      </c>
      <c r="G22" s="26" t="s">
        <v>111</v>
      </c>
    </row>
    <row r="23" spans="1:7" ht="15.75">
      <c r="A23" s="120"/>
      <c r="B23" s="121"/>
      <c r="C23" s="121"/>
      <c r="D23" s="122"/>
      <c r="E23" s="27" t="s">
        <v>2</v>
      </c>
      <c r="F23" s="27" t="s">
        <v>2</v>
      </c>
      <c r="G23" s="27" t="s">
        <v>112</v>
      </c>
    </row>
    <row r="24" spans="1:7" ht="15.75">
      <c r="A24" s="123" t="s">
        <v>113</v>
      </c>
      <c r="B24" s="124"/>
      <c r="C24" s="124"/>
      <c r="D24" s="125"/>
      <c r="E24" s="34">
        <f>'E004'!B17</f>
        <v>61.66549</v>
      </c>
      <c r="F24" s="34">
        <f>'E004'!C17</f>
        <v>67.23850594999999</v>
      </c>
      <c r="G24" s="35">
        <f>F24/E24</f>
        <v>1.0903749560734861</v>
      </c>
    </row>
    <row r="25" spans="1:7" ht="15.75">
      <c r="A25" s="123" t="s">
        <v>114</v>
      </c>
      <c r="B25" s="124"/>
      <c r="C25" s="124"/>
      <c r="D25" s="125"/>
      <c r="E25" s="34">
        <f>'E004'!B18</f>
        <v>67.23850595</v>
      </c>
      <c r="F25" s="34">
        <f>'E004'!C18</f>
        <v>67.23850594999999</v>
      </c>
      <c r="G25" s="35">
        <f>F25/E25</f>
        <v>0.9999999999999998</v>
      </c>
    </row>
    <row r="26" spans="1:7" ht="15.75">
      <c r="A26" s="107" t="s">
        <v>115</v>
      </c>
      <c r="B26" s="108"/>
      <c r="C26" s="108"/>
      <c r="D26" s="108"/>
      <c r="E26" s="108"/>
      <c r="F26" s="108"/>
      <c r="G26" s="109"/>
    </row>
    <row r="27" spans="1:7" ht="15.75">
      <c r="A27" s="107" t="s">
        <v>116</v>
      </c>
      <c r="B27" s="108"/>
      <c r="C27" s="108"/>
      <c r="D27" s="108"/>
      <c r="E27" s="108"/>
      <c r="F27" s="108"/>
      <c r="G27" s="109"/>
    </row>
    <row r="28" spans="1:7" ht="15.75">
      <c r="A28" s="106" t="s">
        <v>117</v>
      </c>
      <c r="B28" s="106"/>
      <c r="C28" s="106"/>
      <c r="D28" s="106"/>
      <c r="E28" s="106"/>
      <c r="F28" s="106" t="s">
        <v>118</v>
      </c>
      <c r="G28" s="106"/>
    </row>
    <row r="29" spans="1:7" ht="15.75">
      <c r="A29" s="104" t="s">
        <v>119</v>
      </c>
      <c r="B29" s="104" t="s">
        <v>120</v>
      </c>
      <c r="C29" s="104" t="s">
        <v>65</v>
      </c>
      <c r="D29" s="104" t="s">
        <v>121</v>
      </c>
      <c r="E29" s="104" t="s">
        <v>122</v>
      </c>
      <c r="F29" s="28" t="s">
        <v>123</v>
      </c>
      <c r="G29" s="29">
        <v>2</v>
      </c>
    </row>
    <row r="30" spans="1:7" ht="15.75">
      <c r="A30" s="105"/>
      <c r="B30" s="105"/>
      <c r="C30" s="105"/>
      <c r="D30" s="105"/>
      <c r="E30" s="105"/>
      <c r="F30" s="28" t="s">
        <v>124</v>
      </c>
      <c r="G30" s="29">
        <v>3</v>
      </c>
    </row>
    <row r="31" spans="1:7" ht="31.5" customHeight="1">
      <c r="A31" s="100" t="s">
        <v>125</v>
      </c>
      <c r="B31" s="100" t="s">
        <v>126</v>
      </c>
      <c r="C31" s="100" t="s">
        <v>127</v>
      </c>
      <c r="D31" s="102" t="s">
        <v>128</v>
      </c>
      <c r="E31" s="102" t="s">
        <v>129</v>
      </c>
      <c r="F31" s="28" t="s">
        <v>130</v>
      </c>
      <c r="G31" s="30">
        <f>(4.78+4.17+4.25+1.78+2.85+1.5)/6</f>
        <v>3.2216666666666662</v>
      </c>
    </row>
    <row r="32" spans="1:7" ht="31.5" customHeight="1">
      <c r="A32" s="101"/>
      <c r="B32" s="101"/>
      <c r="C32" s="101"/>
      <c r="D32" s="103"/>
      <c r="E32" s="103"/>
      <c r="F32" s="28" t="s">
        <v>131</v>
      </c>
      <c r="G32" s="30">
        <v>107.38888888888887</v>
      </c>
    </row>
    <row r="33" spans="1:7" ht="15.75">
      <c r="A33" s="107" t="s">
        <v>230</v>
      </c>
      <c r="B33" s="108"/>
      <c r="C33" s="108"/>
      <c r="D33" s="108"/>
      <c r="E33" s="108"/>
      <c r="F33" s="108"/>
      <c r="G33" s="109"/>
    </row>
    <row r="34" spans="1:7" ht="15.75">
      <c r="A34" s="106" t="s">
        <v>117</v>
      </c>
      <c r="B34" s="106"/>
      <c r="C34" s="106"/>
      <c r="D34" s="106"/>
      <c r="E34" s="106"/>
      <c r="F34" s="106" t="s">
        <v>118</v>
      </c>
      <c r="G34" s="106"/>
    </row>
    <row r="35" spans="1:7" ht="15" customHeight="1">
      <c r="A35" s="104" t="s">
        <v>119</v>
      </c>
      <c r="B35" s="104" t="s">
        <v>120</v>
      </c>
      <c r="C35" s="104" t="s">
        <v>65</v>
      </c>
      <c r="D35" s="104" t="s">
        <v>121</v>
      </c>
      <c r="E35" s="104" t="s">
        <v>122</v>
      </c>
      <c r="F35" s="28" t="s">
        <v>123</v>
      </c>
      <c r="G35" s="29">
        <v>78</v>
      </c>
    </row>
    <row r="36" spans="1:7" ht="15.75">
      <c r="A36" s="105"/>
      <c r="B36" s="105"/>
      <c r="C36" s="105"/>
      <c r="D36" s="105"/>
      <c r="E36" s="105"/>
      <c r="F36" s="28" t="s">
        <v>124</v>
      </c>
      <c r="G36" s="29">
        <v>78</v>
      </c>
    </row>
    <row r="37" spans="1:7" ht="21" customHeight="1">
      <c r="A37" s="100" t="s">
        <v>132</v>
      </c>
      <c r="B37" s="100" t="s">
        <v>133</v>
      </c>
      <c r="C37" s="100" t="s">
        <v>134</v>
      </c>
      <c r="D37" s="102" t="s">
        <v>5</v>
      </c>
      <c r="E37" s="102" t="s">
        <v>135</v>
      </c>
      <c r="F37" s="28" t="s">
        <v>130</v>
      </c>
      <c r="G37" s="30">
        <f>(94/122)*100</f>
        <v>77.04918032786885</v>
      </c>
    </row>
    <row r="38" spans="1:7" ht="27">
      <c r="A38" s="101"/>
      <c r="B38" s="101"/>
      <c r="C38" s="101"/>
      <c r="D38" s="103"/>
      <c r="E38" s="103"/>
      <c r="F38" s="28" t="s">
        <v>131</v>
      </c>
      <c r="G38" s="30">
        <v>98.78100042034468</v>
      </c>
    </row>
    <row r="39" spans="1:7" ht="15" customHeight="1">
      <c r="A39" s="104" t="s">
        <v>119</v>
      </c>
      <c r="B39" s="104" t="s">
        <v>120</v>
      </c>
      <c r="C39" s="104" t="s">
        <v>65</v>
      </c>
      <c r="D39" s="104" t="s">
        <v>121</v>
      </c>
      <c r="E39" s="104" t="s">
        <v>122</v>
      </c>
      <c r="F39" s="28" t="s">
        <v>123</v>
      </c>
      <c r="G39" s="29">
        <v>50</v>
      </c>
    </row>
    <row r="40" spans="1:7" ht="15.75">
      <c r="A40" s="105"/>
      <c r="B40" s="105"/>
      <c r="C40" s="105"/>
      <c r="D40" s="105"/>
      <c r="E40" s="105"/>
      <c r="F40" s="28" t="s">
        <v>124</v>
      </c>
      <c r="G40" s="29">
        <v>50</v>
      </c>
    </row>
    <row r="41" spans="1:7" ht="21" customHeight="1">
      <c r="A41" s="100" t="s">
        <v>136</v>
      </c>
      <c r="B41" s="100" t="s">
        <v>137</v>
      </c>
      <c r="C41" s="100" t="s">
        <v>138</v>
      </c>
      <c r="D41" s="102" t="s">
        <v>5</v>
      </c>
      <c r="E41" s="102" t="s">
        <v>135</v>
      </c>
      <c r="F41" s="28" t="s">
        <v>130</v>
      </c>
      <c r="G41" s="30">
        <f>(40/60)*100</f>
        <v>66.66666666666666</v>
      </c>
    </row>
    <row r="42" spans="1:7" ht="27">
      <c r="A42" s="101"/>
      <c r="B42" s="101"/>
      <c r="C42" s="101"/>
      <c r="D42" s="103"/>
      <c r="E42" s="103"/>
      <c r="F42" s="28" t="s">
        <v>131</v>
      </c>
      <c r="G42" s="30">
        <v>133.33333333333331</v>
      </c>
    </row>
    <row r="43" spans="1:7" ht="15.75">
      <c r="A43" s="107" t="s">
        <v>231</v>
      </c>
      <c r="B43" s="108"/>
      <c r="C43" s="108"/>
      <c r="D43" s="108"/>
      <c r="E43" s="108"/>
      <c r="F43" s="108"/>
      <c r="G43" s="109"/>
    </row>
    <row r="44" spans="1:7" ht="15.75">
      <c r="A44" s="106" t="s">
        <v>117</v>
      </c>
      <c r="B44" s="106"/>
      <c r="C44" s="106"/>
      <c r="D44" s="106"/>
      <c r="E44" s="106"/>
      <c r="F44" s="106" t="s">
        <v>118</v>
      </c>
      <c r="G44" s="106"/>
    </row>
    <row r="45" spans="1:7" ht="15" customHeight="1">
      <c r="A45" s="104" t="s">
        <v>119</v>
      </c>
      <c r="B45" s="104" t="s">
        <v>120</v>
      </c>
      <c r="C45" s="104" t="s">
        <v>65</v>
      </c>
      <c r="D45" s="104" t="s">
        <v>121</v>
      </c>
      <c r="E45" s="104" t="s">
        <v>122</v>
      </c>
      <c r="F45" s="28" t="s">
        <v>123</v>
      </c>
      <c r="G45" s="29">
        <v>100</v>
      </c>
    </row>
    <row r="46" spans="1:7" ht="15.75">
      <c r="A46" s="105"/>
      <c r="B46" s="105"/>
      <c r="C46" s="105"/>
      <c r="D46" s="105"/>
      <c r="E46" s="105"/>
      <c r="F46" s="28" t="s">
        <v>124</v>
      </c>
      <c r="G46" s="29">
        <v>100</v>
      </c>
    </row>
    <row r="47" spans="1:7" ht="21" customHeight="1">
      <c r="A47" s="100" t="s">
        <v>139</v>
      </c>
      <c r="B47" s="100" t="s">
        <v>140</v>
      </c>
      <c r="C47" s="100" t="s">
        <v>141</v>
      </c>
      <c r="D47" s="102" t="s">
        <v>5</v>
      </c>
      <c r="E47" s="102" t="s">
        <v>142</v>
      </c>
      <c r="F47" s="28" t="s">
        <v>130</v>
      </c>
      <c r="G47" s="30">
        <f>(122/122)*100</f>
        <v>100</v>
      </c>
    </row>
    <row r="48" spans="1:7" ht="27">
      <c r="A48" s="101"/>
      <c r="B48" s="101"/>
      <c r="C48" s="101"/>
      <c r="D48" s="103"/>
      <c r="E48" s="103"/>
      <c r="F48" s="28" t="s">
        <v>131</v>
      </c>
      <c r="G48" s="30">
        <v>100</v>
      </c>
    </row>
    <row r="49" spans="1:7" ht="15" customHeight="1">
      <c r="A49" s="104" t="s">
        <v>119</v>
      </c>
      <c r="B49" s="104" t="s">
        <v>120</v>
      </c>
      <c r="C49" s="104" t="s">
        <v>65</v>
      </c>
      <c r="D49" s="104" t="s">
        <v>121</v>
      </c>
      <c r="E49" s="104" t="s">
        <v>122</v>
      </c>
      <c r="F49" s="28" t="s">
        <v>123</v>
      </c>
      <c r="G49" s="29">
        <v>100</v>
      </c>
    </row>
    <row r="50" spans="1:7" ht="15.75">
      <c r="A50" s="105"/>
      <c r="B50" s="105"/>
      <c r="C50" s="105"/>
      <c r="D50" s="105"/>
      <c r="E50" s="105"/>
      <c r="F50" s="28" t="s">
        <v>124</v>
      </c>
      <c r="G50" s="29">
        <v>100</v>
      </c>
    </row>
    <row r="51" spans="1:7" ht="22.5" customHeight="1">
      <c r="A51" s="100" t="s">
        <v>143</v>
      </c>
      <c r="B51" s="100" t="s">
        <v>144</v>
      </c>
      <c r="C51" s="100" t="s">
        <v>145</v>
      </c>
      <c r="D51" s="102" t="s">
        <v>5</v>
      </c>
      <c r="E51" s="102" t="s">
        <v>142</v>
      </c>
      <c r="F51" s="28" t="s">
        <v>130</v>
      </c>
      <c r="G51" s="30">
        <f>(60/60)*100</f>
        <v>100</v>
      </c>
    </row>
    <row r="52" spans="1:7" ht="27">
      <c r="A52" s="101"/>
      <c r="B52" s="101"/>
      <c r="C52" s="101"/>
      <c r="D52" s="103"/>
      <c r="E52" s="103"/>
      <c r="F52" s="28" t="s">
        <v>131</v>
      </c>
      <c r="G52" s="30">
        <v>100</v>
      </c>
    </row>
    <row r="53" spans="1:7" ht="15" customHeight="1">
      <c r="A53" s="104" t="s">
        <v>119</v>
      </c>
      <c r="B53" s="104" t="s">
        <v>120</v>
      </c>
      <c r="C53" s="104" t="s">
        <v>65</v>
      </c>
      <c r="D53" s="104" t="s">
        <v>121</v>
      </c>
      <c r="E53" s="104" t="s">
        <v>122</v>
      </c>
      <c r="F53" s="28" t="s">
        <v>123</v>
      </c>
      <c r="G53" s="29">
        <v>3</v>
      </c>
    </row>
    <row r="54" spans="1:7" ht="15.75">
      <c r="A54" s="105"/>
      <c r="B54" s="105"/>
      <c r="C54" s="105"/>
      <c r="D54" s="105"/>
      <c r="E54" s="105"/>
      <c r="F54" s="28" t="s">
        <v>124</v>
      </c>
      <c r="G54" s="29">
        <v>3</v>
      </c>
    </row>
    <row r="55" spans="1:7" ht="15" customHeight="1">
      <c r="A55" s="100" t="s">
        <v>146</v>
      </c>
      <c r="B55" s="100" t="s">
        <v>147</v>
      </c>
      <c r="C55" s="100" t="s">
        <v>148</v>
      </c>
      <c r="D55" s="102" t="s">
        <v>149</v>
      </c>
      <c r="E55" s="102" t="s">
        <v>150</v>
      </c>
      <c r="F55" s="28" t="s">
        <v>130</v>
      </c>
      <c r="G55" s="30">
        <f>389/121</f>
        <v>3.2148760330578514</v>
      </c>
    </row>
    <row r="56" spans="1:7" ht="27">
      <c r="A56" s="101"/>
      <c r="B56" s="101"/>
      <c r="C56" s="101"/>
      <c r="D56" s="103"/>
      <c r="E56" s="103"/>
      <c r="F56" s="28" t="s">
        <v>131</v>
      </c>
      <c r="G56" s="30">
        <v>92.83746556473828</v>
      </c>
    </row>
    <row r="57" spans="1:7" ht="15" customHeight="1">
      <c r="A57" s="104" t="s">
        <v>119</v>
      </c>
      <c r="B57" s="104" t="s">
        <v>120</v>
      </c>
      <c r="C57" s="104" t="s">
        <v>65</v>
      </c>
      <c r="D57" s="104" t="s">
        <v>121</v>
      </c>
      <c r="E57" s="104" t="s">
        <v>122</v>
      </c>
      <c r="F57" s="28" t="s">
        <v>123</v>
      </c>
      <c r="G57" s="29">
        <v>100</v>
      </c>
    </row>
    <row r="58" spans="1:7" ht="15.75">
      <c r="A58" s="105"/>
      <c r="B58" s="105"/>
      <c r="C58" s="105"/>
      <c r="D58" s="105"/>
      <c r="E58" s="105"/>
      <c r="F58" s="28" t="s">
        <v>124</v>
      </c>
      <c r="G58" s="29">
        <v>100</v>
      </c>
    </row>
    <row r="59" spans="1:7" ht="15" customHeight="1">
      <c r="A59" s="100" t="s">
        <v>151</v>
      </c>
      <c r="B59" s="100" t="s">
        <v>152</v>
      </c>
      <c r="C59" s="100" t="s">
        <v>153</v>
      </c>
      <c r="D59" s="102" t="s">
        <v>154</v>
      </c>
      <c r="E59" s="102" t="s">
        <v>142</v>
      </c>
      <c r="F59" s="28" t="s">
        <v>130</v>
      </c>
      <c r="G59" s="30">
        <f>(64/64)*100</f>
        <v>100</v>
      </c>
    </row>
    <row r="60" spans="1:7" ht="27">
      <c r="A60" s="101"/>
      <c r="B60" s="101"/>
      <c r="C60" s="101"/>
      <c r="D60" s="103"/>
      <c r="E60" s="103"/>
      <c r="F60" s="28" t="s">
        <v>131</v>
      </c>
      <c r="G60" s="30">
        <v>100</v>
      </c>
    </row>
    <row r="61" spans="1:7" ht="15" customHeight="1">
      <c r="A61" s="104" t="s">
        <v>119</v>
      </c>
      <c r="B61" s="104" t="s">
        <v>120</v>
      </c>
      <c r="C61" s="104" t="s">
        <v>65</v>
      </c>
      <c r="D61" s="104" t="s">
        <v>121</v>
      </c>
      <c r="E61" s="104" t="s">
        <v>122</v>
      </c>
      <c r="F61" s="28" t="s">
        <v>123</v>
      </c>
      <c r="G61" s="29">
        <v>100</v>
      </c>
    </row>
    <row r="62" spans="1:7" ht="15.75">
      <c r="A62" s="105"/>
      <c r="B62" s="105"/>
      <c r="C62" s="105"/>
      <c r="D62" s="105"/>
      <c r="E62" s="105"/>
      <c r="F62" s="28" t="s">
        <v>124</v>
      </c>
      <c r="G62" s="29">
        <v>100</v>
      </c>
    </row>
    <row r="63" spans="1:7" ht="15" customHeight="1">
      <c r="A63" s="100" t="s">
        <v>155</v>
      </c>
      <c r="B63" s="100" t="s">
        <v>156</v>
      </c>
      <c r="C63" s="100" t="s">
        <v>157</v>
      </c>
      <c r="D63" s="102" t="s">
        <v>5</v>
      </c>
      <c r="E63" s="102" t="s">
        <v>142</v>
      </c>
      <c r="F63" s="28" t="s">
        <v>130</v>
      </c>
      <c r="G63" s="30">
        <f>(2534/2578)*100</f>
        <v>98.2932505818464</v>
      </c>
    </row>
    <row r="64" spans="1:7" ht="27">
      <c r="A64" s="101"/>
      <c r="B64" s="101"/>
      <c r="C64" s="101"/>
      <c r="D64" s="103"/>
      <c r="E64" s="103"/>
      <c r="F64" s="28" t="s">
        <v>131</v>
      </c>
      <c r="G64" s="30">
        <v>98.2932505818464</v>
      </c>
    </row>
    <row r="65" spans="1:7" ht="15" customHeight="1">
      <c r="A65" s="104" t="s">
        <v>119</v>
      </c>
      <c r="B65" s="104" t="s">
        <v>120</v>
      </c>
      <c r="C65" s="104" t="s">
        <v>65</v>
      </c>
      <c r="D65" s="104" t="s">
        <v>121</v>
      </c>
      <c r="E65" s="104" t="s">
        <v>122</v>
      </c>
      <c r="F65" s="28" t="s">
        <v>123</v>
      </c>
      <c r="G65" s="29">
        <v>100</v>
      </c>
    </row>
    <row r="66" spans="1:7" ht="15.75">
      <c r="A66" s="105"/>
      <c r="B66" s="105"/>
      <c r="C66" s="105"/>
      <c r="D66" s="105"/>
      <c r="E66" s="105"/>
      <c r="F66" s="28" t="s">
        <v>124</v>
      </c>
      <c r="G66" s="29">
        <v>100</v>
      </c>
    </row>
    <row r="67" spans="1:7" ht="15" customHeight="1">
      <c r="A67" s="100" t="s">
        <v>158</v>
      </c>
      <c r="B67" s="100" t="s">
        <v>159</v>
      </c>
      <c r="C67" s="100" t="s">
        <v>160</v>
      </c>
      <c r="D67" s="102" t="s">
        <v>5</v>
      </c>
      <c r="E67" s="102" t="s">
        <v>142</v>
      </c>
      <c r="F67" s="28" t="s">
        <v>130</v>
      </c>
      <c r="G67" s="30">
        <f>(269/269)*100</f>
        <v>100</v>
      </c>
    </row>
    <row r="68" spans="1:7" ht="27">
      <c r="A68" s="101"/>
      <c r="B68" s="101"/>
      <c r="C68" s="101"/>
      <c r="D68" s="103"/>
      <c r="E68" s="103"/>
      <c r="F68" s="28" t="s">
        <v>131</v>
      </c>
      <c r="G68" s="30">
        <v>100</v>
      </c>
    </row>
    <row r="69" spans="1:7" ht="15" customHeight="1">
      <c r="A69" s="104" t="s">
        <v>119</v>
      </c>
      <c r="B69" s="104" t="s">
        <v>120</v>
      </c>
      <c r="C69" s="104" t="s">
        <v>65</v>
      </c>
      <c r="D69" s="104" t="s">
        <v>121</v>
      </c>
      <c r="E69" s="104" t="s">
        <v>122</v>
      </c>
      <c r="F69" s="28" t="s">
        <v>123</v>
      </c>
      <c r="G69" s="29">
        <v>100</v>
      </c>
    </row>
    <row r="70" spans="1:7" ht="15.75">
      <c r="A70" s="105"/>
      <c r="B70" s="105"/>
      <c r="C70" s="105"/>
      <c r="D70" s="105"/>
      <c r="E70" s="105"/>
      <c r="F70" s="28" t="s">
        <v>124</v>
      </c>
      <c r="G70" s="29">
        <v>100</v>
      </c>
    </row>
    <row r="71" spans="1:7" ht="24" customHeight="1">
      <c r="A71" s="100" t="s">
        <v>161</v>
      </c>
      <c r="B71" s="100" t="s">
        <v>162</v>
      </c>
      <c r="C71" s="100" t="s">
        <v>163</v>
      </c>
      <c r="D71" s="102" t="s">
        <v>5</v>
      </c>
      <c r="E71" s="102" t="s">
        <v>142</v>
      </c>
      <c r="F71" s="28" t="s">
        <v>130</v>
      </c>
      <c r="G71" s="30">
        <f>(81/81)*100</f>
        <v>100</v>
      </c>
    </row>
    <row r="72" spans="1:7" ht="27">
      <c r="A72" s="101"/>
      <c r="B72" s="101"/>
      <c r="C72" s="101"/>
      <c r="D72" s="103"/>
      <c r="E72" s="103"/>
      <c r="F72" s="28" t="s">
        <v>131</v>
      </c>
      <c r="G72" s="30">
        <v>100</v>
      </c>
    </row>
    <row r="73" spans="1:7" ht="15.75">
      <c r="A73" s="107" t="s">
        <v>232</v>
      </c>
      <c r="B73" s="108"/>
      <c r="C73" s="108"/>
      <c r="D73" s="108"/>
      <c r="E73" s="108"/>
      <c r="F73" s="108"/>
      <c r="G73" s="109"/>
    </row>
    <row r="74" spans="1:7" ht="15.75">
      <c r="A74" s="106" t="s">
        <v>117</v>
      </c>
      <c r="B74" s="106"/>
      <c r="C74" s="106"/>
      <c r="D74" s="106"/>
      <c r="E74" s="106"/>
      <c r="F74" s="106" t="s">
        <v>118</v>
      </c>
      <c r="G74" s="106"/>
    </row>
    <row r="75" spans="1:7" ht="15" customHeight="1">
      <c r="A75" s="104" t="s">
        <v>119</v>
      </c>
      <c r="B75" s="104" t="s">
        <v>120</v>
      </c>
      <c r="C75" s="104" t="s">
        <v>65</v>
      </c>
      <c r="D75" s="104" t="s">
        <v>121</v>
      </c>
      <c r="E75" s="104" t="s">
        <v>122</v>
      </c>
      <c r="F75" s="28" t="s">
        <v>123</v>
      </c>
      <c r="G75" s="29">
        <v>100</v>
      </c>
    </row>
    <row r="76" spans="1:7" ht="15.75">
      <c r="A76" s="105"/>
      <c r="B76" s="105"/>
      <c r="C76" s="105"/>
      <c r="D76" s="105"/>
      <c r="E76" s="105"/>
      <c r="F76" s="28" t="s">
        <v>124</v>
      </c>
      <c r="G76" s="29">
        <v>100</v>
      </c>
    </row>
    <row r="77" spans="1:7" ht="15" customHeight="1">
      <c r="A77" s="100" t="s">
        <v>164</v>
      </c>
      <c r="B77" s="100" t="s">
        <v>165</v>
      </c>
      <c r="C77" s="100" t="s">
        <v>166</v>
      </c>
      <c r="D77" s="102" t="s">
        <v>5</v>
      </c>
      <c r="E77" s="102" t="s">
        <v>167</v>
      </c>
      <c r="F77" s="28" t="s">
        <v>130</v>
      </c>
      <c r="G77" s="30">
        <f>(301/301)*100</f>
        <v>100</v>
      </c>
    </row>
    <row r="78" spans="1:7" ht="27">
      <c r="A78" s="101"/>
      <c r="B78" s="101"/>
      <c r="C78" s="101"/>
      <c r="D78" s="103"/>
      <c r="E78" s="103"/>
      <c r="F78" s="28" t="s">
        <v>131</v>
      </c>
      <c r="G78" s="30">
        <v>100</v>
      </c>
    </row>
    <row r="79" spans="1:7" ht="15" customHeight="1">
      <c r="A79" s="104" t="s">
        <v>119</v>
      </c>
      <c r="B79" s="104" t="s">
        <v>120</v>
      </c>
      <c r="C79" s="104" t="s">
        <v>65</v>
      </c>
      <c r="D79" s="104" t="s">
        <v>121</v>
      </c>
      <c r="E79" s="104" t="s">
        <v>122</v>
      </c>
      <c r="F79" s="28" t="s">
        <v>123</v>
      </c>
      <c r="G79" s="29">
        <v>100</v>
      </c>
    </row>
    <row r="80" spans="1:7" ht="15.75">
      <c r="A80" s="105"/>
      <c r="B80" s="105"/>
      <c r="C80" s="105"/>
      <c r="D80" s="105"/>
      <c r="E80" s="105"/>
      <c r="F80" s="28" t="s">
        <v>124</v>
      </c>
      <c r="G80" s="29">
        <v>100</v>
      </c>
    </row>
    <row r="81" spans="1:7" ht="15" customHeight="1">
      <c r="A81" s="100" t="s">
        <v>168</v>
      </c>
      <c r="B81" s="100" t="s">
        <v>169</v>
      </c>
      <c r="C81" s="100" t="s">
        <v>170</v>
      </c>
      <c r="D81" s="102" t="s">
        <v>5</v>
      </c>
      <c r="E81" s="102" t="s">
        <v>167</v>
      </c>
      <c r="F81" s="28" t="s">
        <v>130</v>
      </c>
      <c r="G81" s="30">
        <f>(114/114)*100</f>
        <v>100</v>
      </c>
    </row>
    <row r="82" spans="1:7" ht="27">
      <c r="A82" s="101"/>
      <c r="B82" s="101"/>
      <c r="C82" s="101"/>
      <c r="D82" s="103"/>
      <c r="E82" s="103"/>
      <c r="F82" s="28" t="s">
        <v>131</v>
      </c>
      <c r="G82" s="30">
        <v>100</v>
      </c>
    </row>
    <row r="83" spans="1:7" ht="15" customHeight="1">
      <c r="A83" s="104" t="s">
        <v>119</v>
      </c>
      <c r="B83" s="104" t="s">
        <v>120</v>
      </c>
      <c r="C83" s="104" t="s">
        <v>65</v>
      </c>
      <c r="D83" s="104" t="s">
        <v>121</v>
      </c>
      <c r="E83" s="104" t="s">
        <v>122</v>
      </c>
      <c r="F83" s="28" t="s">
        <v>123</v>
      </c>
      <c r="G83" s="29">
        <v>100</v>
      </c>
    </row>
    <row r="84" spans="1:7" ht="15.75">
      <c r="A84" s="105"/>
      <c r="B84" s="105"/>
      <c r="C84" s="105"/>
      <c r="D84" s="105"/>
      <c r="E84" s="105"/>
      <c r="F84" s="28" t="s">
        <v>124</v>
      </c>
      <c r="G84" s="29">
        <v>100</v>
      </c>
    </row>
    <row r="85" spans="1:7" ht="15" customHeight="1">
      <c r="A85" s="100" t="s">
        <v>171</v>
      </c>
      <c r="B85" s="100" t="s">
        <v>172</v>
      </c>
      <c r="C85" s="100" t="s">
        <v>173</v>
      </c>
      <c r="D85" s="102" t="s">
        <v>5</v>
      </c>
      <c r="E85" s="102" t="s">
        <v>167</v>
      </c>
      <c r="F85" s="28" t="s">
        <v>130</v>
      </c>
      <c r="G85" s="30">
        <f>(170/170)*100</f>
        <v>100</v>
      </c>
    </row>
    <row r="86" spans="1:7" ht="27">
      <c r="A86" s="101"/>
      <c r="B86" s="101"/>
      <c r="C86" s="101"/>
      <c r="D86" s="103"/>
      <c r="E86" s="103"/>
      <c r="F86" s="28" t="s">
        <v>131</v>
      </c>
      <c r="G86" s="30">
        <v>100</v>
      </c>
    </row>
    <row r="87" spans="1:7" ht="15" customHeight="1">
      <c r="A87" s="104" t="s">
        <v>119</v>
      </c>
      <c r="B87" s="104" t="s">
        <v>120</v>
      </c>
      <c r="C87" s="104" t="s">
        <v>65</v>
      </c>
      <c r="D87" s="104" t="s">
        <v>121</v>
      </c>
      <c r="E87" s="104" t="s">
        <v>122</v>
      </c>
      <c r="F87" s="28" t="s">
        <v>123</v>
      </c>
      <c r="G87" s="29">
        <v>100</v>
      </c>
    </row>
    <row r="88" spans="1:7" ht="15.75">
      <c r="A88" s="105"/>
      <c r="B88" s="105"/>
      <c r="C88" s="105"/>
      <c r="D88" s="105"/>
      <c r="E88" s="105"/>
      <c r="F88" s="28" t="s">
        <v>124</v>
      </c>
      <c r="G88" s="29">
        <v>100</v>
      </c>
    </row>
    <row r="89" spans="1:7" ht="15" customHeight="1">
      <c r="A89" s="100" t="s">
        <v>174</v>
      </c>
      <c r="B89" s="100" t="s">
        <v>175</v>
      </c>
      <c r="C89" s="100" t="s">
        <v>176</v>
      </c>
      <c r="D89" s="102" t="s">
        <v>5</v>
      </c>
      <c r="E89" s="102" t="s">
        <v>167</v>
      </c>
      <c r="F89" s="28" t="s">
        <v>130</v>
      </c>
      <c r="G89" s="30">
        <f>(38/38)*100</f>
        <v>100</v>
      </c>
    </row>
    <row r="90" spans="1:7" ht="27">
      <c r="A90" s="101"/>
      <c r="B90" s="101"/>
      <c r="C90" s="101"/>
      <c r="D90" s="103"/>
      <c r="E90" s="103"/>
      <c r="F90" s="28" t="s">
        <v>131</v>
      </c>
      <c r="G90" s="30">
        <v>100</v>
      </c>
    </row>
    <row r="91" spans="1:7" ht="15" customHeight="1">
      <c r="A91" s="104" t="s">
        <v>119</v>
      </c>
      <c r="B91" s="104" t="s">
        <v>120</v>
      </c>
      <c r="C91" s="104" t="s">
        <v>65</v>
      </c>
      <c r="D91" s="104" t="s">
        <v>121</v>
      </c>
      <c r="E91" s="104" t="s">
        <v>122</v>
      </c>
      <c r="F91" s="28" t="s">
        <v>123</v>
      </c>
      <c r="G91" s="29">
        <v>100</v>
      </c>
    </row>
    <row r="92" spans="1:7" ht="15.75">
      <c r="A92" s="105"/>
      <c r="B92" s="105"/>
      <c r="C92" s="105"/>
      <c r="D92" s="105"/>
      <c r="E92" s="105"/>
      <c r="F92" s="28" t="s">
        <v>124</v>
      </c>
      <c r="G92" s="29">
        <v>100</v>
      </c>
    </row>
    <row r="93" spans="1:7" ht="15" customHeight="1">
      <c r="A93" s="100" t="s">
        <v>177</v>
      </c>
      <c r="B93" s="100" t="s">
        <v>178</v>
      </c>
      <c r="C93" s="100" t="s">
        <v>179</v>
      </c>
      <c r="D93" s="102" t="s">
        <v>5</v>
      </c>
      <c r="E93" s="102" t="s">
        <v>167</v>
      </c>
      <c r="F93" s="28" t="s">
        <v>130</v>
      </c>
      <c r="G93" s="30">
        <f>(65/65)*100</f>
        <v>100</v>
      </c>
    </row>
    <row r="94" spans="1:7" ht="27">
      <c r="A94" s="101"/>
      <c r="B94" s="101"/>
      <c r="C94" s="101"/>
      <c r="D94" s="103"/>
      <c r="E94" s="103"/>
      <c r="F94" s="28" t="s">
        <v>131</v>
      </c>
      <c r="G94" s="30">
        <v>100</v>
      </c>
    </row>
    <row r="95" spans="1:7" ht="15" customHeight="1">
      <c r="A95" s="104" t="s">
        <v>119</v>
      </c>
      <c r="B95" s="104" t="s">
        <v>120</v>
      </c>
      <c r="C95" s="104" t="s">
        <v>65</v>
      </c>
      <c r="D95" s="104" t="s">
        <v>121</v>
      </c>
      <c r="E95" s="104" t="s">
        <v>122</v>
      </c>
      <c r="F95" s="28" t="s">
        <v>123</v>
      </c>
      <c r="G95" s="29">
        <v>100</v>
      </c>
    </row>
    <row r="96" spans="1:7" ht="15.75">
      <c r="A96" s="105"/>
      <c r="B96" s="105"/>
      <c r="C96" s="105"/>
      <c r="D96" s="105"/>
      <c r="E96" s="105"/>
      <c r="F96" s="28" t="s">
        <v>124</v>
      </c>
      <c r="G96" s="29">
        <v>100</v>
      </c>
    </row>
    <row r="97" spans="1:7" ht="24.75" customHeight="1">
      <c r="A97" s="100" t="s">
        <v>180</v>
      </c>
      <c r="B97" s="100" t="s">
        <v>181</v>
      </c>
      <c r="C97" s="100" t="s">
        <v>182</v>
      </c>
      <c r="D97" s="102" t="s">
        <v>5</v>
      </c>
      <c r="E97" s="102" t="s">
        <v>167</v>
      </c>
      <c r="F97" s="28" t="s">
        <v>130</v>
      </c>
      <c r="G97" s="30">
        <f>(2578/2578)*100</f>
        <v>100</v>
      </c>
    </row>
    <row r="98" spans="1:7" ht="27">
      <c r="A98" s="101"/>
      <c r="B98" s="101"/>
      <c r="C98" s="101"/>
      <c r="D98" s="103"/>
      <c r="E98" s="103"/>
      <c r="F98" s="28" t="s">
        <v>131</v>
      </c>
      <c r="G98" s="30">
        <v>100</v>
      </c>
    </row>
    <row r="99" spans="1:7" ht="15" customHeight="1">
      <c r="A99" s="104" t="s">
        <v>119</v>
      </c>
      <c r="B99" s="104" t="s">
        <v>120</v>
      </c>
      <c r="C99" s="104" t="s">
        <v>65</v>
      </c>
      <c r="D99" s="104" t="s">
        <v>121</v>
      </c>
      <c r="E99" s="104" t="s">
        <v>122</v>
      </c>
      <c r="F99" s="28" t="s">
        <v>123</v>
      </c>
      <c r="G99" s="29">
        <v>100</v>
      </c>
    </row>
    <row r="100" spans="1:7" ht="15.75">
      <c r="A100" s="105"/>
      <c r="B100" s="105"/>
      <c r="C100" s="105"/>
      <c r="D100" s="105"/>
      <c r="E100" s="105"/>
      <c r="F100" s="28" t="s">
        <v>124</v>
      </c>
      <c r="G100" s="29">
        <v>100</v>
      </c>
    </row>
    <row r="101" spans="1:7" ht="15" customHeight="1">
      <c r="A101" s="100" t="s">
        <v>183</v>
      </c>
      <c r="B101" s="100" t="s">
        <v>184</v>
      </c>
      <c r="C101" s="100" t="s">
        <v>185</v>
      </c>
      <c r="D101" s="102" t="s">
        <v>5</v>
      </c>
      <c r="E101" s="102" t="s">
        <v>142</v>
      </c>
      <c r="F101" s="28" t="s">
        <v>130</v>
      </c>
      <c r="G101" s="30">
        <f>(518/518)*100</f>
        <v>100</v>
      </c>
    </row>
    <row r="102" spans="1:7" ht="27">
      <c r="A102" s="101"/>
      <c r="B102" s="101"/>
      <c r="C102" s="101"/>
      <c r="D102" s="103"/>
      <c r="E102" s="103"/>
      <c r="F102" s="28" t="s">
        <v>131</v>
      </c>
      <c r="G102" s="30">
        <v>100</v>
      </c>
    </row>
    <row r="103" spans="1:7" ht="15" customHeight="1">
      <c r="A103" s="104" t="s">
        <v>119</v>
      </c>
      <c r="B103" s="104" t="s">
        <v>120</v>
      </c>
      <c r="C103" s="104" t="s">
        <v>65</v>
      </c>
      <c r="D103" s="104" t="s">
        <v>121</v>
      </c>
      <c r="E103" s="104" t="s">
        <v>122</v>
      </c>
      <c r="F103" s="28" t="s">
        <v>123</v>
      </c>
      <c r="G103" s="29">
        <v>100</v>
      </c>
    </row>
    <row r="104" spans="1:7" ht="15.75">
      <c r="A104" s="105"/>
      <c r="B104" s="105"/>
      <c r="C104" s="105"/>
      <c r="D104" s="105"/>
      <c r="E104" s="105"/>
      <c r="F104" s="28" t="s">
        <v>124</v>
      </c>
      <c r="G104" s="29">
        <v>100</v>
      </c>
    </row>
    <row r="105" spans="1:7" ht="15" customHeight="1">
      <c r="A105" s="100" t="s">
        <v>186</v>
      </c>
      <c r="B105" s="100" t="s">
        <v>187</v>
      </c>
      <c r="C105" s="100" t="s">
        <v>188</v>
      </c>
      <c r="D105" s="102" t="s">
        <v>5</v>
      </c>
      <c r="E105" s="102" t="s">
        <v>142</v>
      </c>
      <c r="F105" s="28" t="s">
        <v>130</v>
      </c>
      <c r="G105" s="30">
        <f>(108/108)*100</f>
        <v>100</v>
      </c>
    </row>
    <row r="106" spans="1:7" ht="27">
      <c r="A106" s="101"/>
      <c r="B106" s="101"/>
      <c r="C106" s="101"/>
      <c r="D106" s="103"/>
      <c r="E106" s="103"/>
      <c r="F106" s="28" t="s">
        <v>131</v>
      </c>
      <c r="G106" s="30">
        <v>100</v>
      </c>
    </row>
    <row r="107" spans="1:7" ht="15" customHeight="1">
      <c r="A107" s="104" t="s">
        <v>119</v>
      </c>
      <c r="B107" s="104" t="s">
        <v>120</v>
      </c>
      <c r="C107" s="104" t="s">
        <v>65</v>
      </c>
      <c r="D107" s="104" t="s">
        <v>121</v>
      </c>
      <c r="E107" s="104" t="s">
        <v>122</v>
      </c>
      <c r="F107" s="28" t="s">
        <v>123</v>
      </c>
      <c r="G107" s="29">
        <v>100</v>
      </c>
    </row>
    <row r="108" spans="1:7" ht="15.75">
      <c r="A108" s="105"/>
      <c r="B108" s="105"/>
      <c r="C108" s="105"/>
      <c r="D108" s="105"/>
      <c r="E108" s="105"/>
      <c r="F108" s="28" t="s">
        <v>124</v>
      </c>
      <c r="G108" s="29">
        <v>100</v>
      </c>
    </row>
    <row r="109" spans="1:7" s="31" customFormat="1" ht="25.5" customHeight="1">
      <c r="A109" s="100" t="s">
        <v>189</v>
      </c>
      <c r="B109" s="100" t="s">
        <v>190</v>
      </c>
      <c r="C109" s="100" t="s">
        <v>191</v>
      </c>
      <c r="D109" s="102" t="s">
        <v>5</v>
      </c>
      <c r="E109" s="102" t="s">
        <v>142</v>
      </c>
      <c r="F109" s="28" t="s">
        <v>130</v>
      </c>
      <c r="G109" s="30">
        <f>(81/81)*100</f>
        <v>100</v>
      </c>
    </row>
    <row r="110" spans="1:7" s="31" customFormat="1" ht="27">
      <c r="A110" s="101"/>
      <c r="B110" s="101"/>
      <c r="C110" s="101"/>
      <c r="D110" s="103"/>
      <c r="E110" s="103"/>
      <c r="F110" s="28" t="s">
        <v>131</v>
      </c>
      <c r="G110" s="30">
        <v>100</v>
      </c>
    </row>
    <row r="111" spans="1:7" s="31" customFormat="1" ht="15" customHeight="1">
      <c r="A111" s="107" t="s">
        <v>192</v>
      </c>
      <c r="B111" s="108"/>
      <c r="C111" s="108"/>
      <c r="D111" s="108"/>
      <c r="E111" s="108"/>
      <c r="F111" s="108"/>
      <c r="G111" s="109"/>
    </row>
    <row r="112" spans="1:7" s="31" customFormat="1" ht="15.75">
      <c r="A112" s="239" t="str">
        <f>A31</f>
        <v>Índice de Gestión para Resultados con enfoque de derechos humanos y perspectiva de género (IGpR)</v>
      </c>
      <c r="B112" s="239"/>
      <c r="C112" s="239"/>
      <c r="D112" s="239"/>
      <c r="E112" s="239"/>
      <c r="F112" s="239"/>
      <c r="G112" s="239"/>
    </row>
    <row r="113" spans="1:7" s="31" customFormat="1" ht="93" customHeight="1">
      <c r="A113" s="32" t="s">
        <v>193</v>
      </c>
      <c r="B113" s="205" t="s">
        <v>194</v>
      </c>
      <c r="C113" s="205"/>
      <c r="D113" s="205"/>
      <c r="E113" s="205"/>
      <c r="F113" s="205"/>
      <c r="G113" s="205"/>
    </row>
    <row r="114" spans="1:7" s="31" customFormat="1" ht="31.5" customHeight="1">
      <c r="A114" s="33" t="s">
        <v>6</v>
      </c>
      <c r="B114" s="205" t="s">
        <v>461</v>
      </c>
      <c r="C114" s="205"/>
      <c r="D114" s="205"/>
      <c r="E114" s="205"/>
      <c r="F114" s="205"/>
      <c r="G114" s="205"/>
    </row>
    <row r="115" spans="1:7" s="31" customFormat="1" ht="15.75">
      <c r="A115" s="33" t="s">
        <v>195</v>
      </c>
      <c r="B115" s="206"/>
      <c r="C115" s="206"/>
      <c r="D115" s="206"/>
      <c r="E115" s="206"/>
      <c r="F115" s="206"/>
      <c r="G115" s="206"/>
    </row>
    <row r="116" spans="1:7" s="31" customFormat="1" ht="15.75">
      <c r="A116" s="240" t="str">
        <f>A37</f>
        <v>Porcentaje de juicios de amparo favorables concluidos</v>
      </c>
      <c r="B116" s="240"/>
      <c r="C116" s="240"/>
      <c r="D116" s="240"/>
      <c r="E116" s="240"/>
      <c r="F116" s="240"/>
      <c r="G116" s="240"/>
    </row>
    <row r="117" spans="1:7" s="31" customFormat="1" ht="15.75">
      <c r="A117" s="33" t="s">
        <v>193</v>
      </c>
      <c r="B117" s="206" t="s">
        <v>196</v>
      </c>
      <c r="C117" s="206"/>
      <c r="D117" s="206"/>
      <c r="E117" s="206"/>
      <c r="F117" s="206"/>
      <c r="G117" s="206"/>
    </row>
    <row r="118" spans="1:7" s="31" customFormat="1" ht="15.75">
      <c r="A118" s="33" t="s">
        <v>6</v>
      </c>
      <c r="B118" s="206" t="s">
        <v>197</v>
      </c>
      <c r="C118" s="206"/>
      <c r="D118" s="206"/>
      <c r="E118" s="206"/>
      <c r="F118" s="206"/>
      <c r="G118" s="206"/>
    </row>
    <row r="119" spans="1:7" s="31" customFormat="1" ht="15.75">
      <c r="A119" s="33" t="s">
        <v>195</v>
      </c>
      <c r="B119" s="206"/>
      <c r="C119" s="206"/>
      <c r="D119" s="206"/>
      <c r="E119" s="206"/>
      <c r="F119" s="206"/>
      <c r="G119" s="206"/>
    </row>
    <row r="120" spans="1:7" s="31" customFormat="1" ht="15.75">
      <c r="A120" s="240" t="str">
        <f>A41</f>
        <v>Porcentaje de juicios de nulidad favorables concluidos</v>
      </c>
      <c r="B120" s="240"/>
      <c r="C120" s="240"/>
      <c r="D120" s="240"/>
      <c r="E120" s="240"/>
      <c r="F120" s="240"/>
      <c r="G120" s="240"/>
    </row>
    <row r="121" spans="1:7" s="31" customFormat="1" ht="66.75" customHeight="1">
      <c r="A121" s="33" t="s">
        <v>193</v>
      </c>
      <c r="B121" s="206" t="s">
        <v>198</v>
      </c>
      <c r="C121" s="206"/>
      <c r="D121" s="206"/>
      <c r="E121" s="206"/>
      <c r="F121" s="206"/>
      <c r="G121" s="206"/>
    </row>
    <row r="122" spans="1:7" s="31" customFormat="1" ht="15.75">
      <c r="A122" s="33" t="s">
        <v>6</v>
      </c>
      <c r="B122" s="206" t="s">
        <v>197</v>
      </c>
      <c r="C122" s="206"/>
      <c r="D122" s="206"/>
      <c r="E122" s="206"/>
      <c r="F122" s="206"/>
      <c r="G122" s="206"/>
    </row>
    <row r="123" spans="1:7" s="31" customFormat="1" ht="15.75">
      <c r="A123" s="33" t="s">
        <v>195</v>
      </c>
      <c r="B123" s="206"/>
      <c r="C123" s="206"/>
      <c r="D123" s="206"/>
      <c r="E123" s="206"/>
      <c r="F123" s="206"/>
      <c r="G123" s="206"/>
    </row>
    <row r="124" spans="1:7" s="31" customFormat="1" ht="15.75">
      <c r="A124" s="240" t="str">
        <f>A47</f>
        <v>Porcentaje de resoluciones obtenidas del Poder Judicial de la Federación donde se reconoce la comparecencia del Instituto.</v>
      </c>
      <c r="B124" s="240"/>
      <c r="C124" s="240"/>
      <c r="D124" s="240"/>
      <c r="E124" s="240"/>
      <c r="F124" s="240"/>
      <c r="G124" s="240"/>
    </row>
    <row r="125" spans="1:7" s="31" customFormat="1" ht="15.75">
      <c r="A125" s="33" t="s">
        <v>193</v>
      </c>
      <c r="B125" s="206" t="s">
        <v>199</v>
      </c>
      <c r="C125" s="206"/>
      <c r="D125" s="206"/>
      <c r="E125" s="206"/>
      <c r="F125" s="206"/>
      <c r="G125" s="206"/>
    </row>
    <row r="126" spans="1:7" s="31" customFormat="1" ht="15.75">
      <c r="A126" s="33" t="s">
        <v>6</v>
      </c>
      <c r="B126" s="206" t="s">
        <v>200</v>
      </c>
      <c r="C126" s="206"/>
      <c r="D126" s="206"/>
      <c r="E126" s="206"/>
      <c r="F126" s="206"/>
      <c r="G126" s="206"/>
    </row>
    <row r="127" spans="1:7" s="31" customFormat="1" ht="15.75">
      <c r="A127" s="33" t="s">
        <v>195</v>
      </c>
      <c r="B127" s="206"/>
      <c r="C127" s="206"/>
      <c r="D127" s="206"/>
      <c r="E127" s="206"/>
      <c r="F127" s="206"/>
      <c r="G127" s="206"/>
    </row>
    <row r="128" spans="1:7" s="31" customFormat="1" ht="15.75">
      <c r="A128" s="240" t="str">
        <f>A51</f>
        <v>Porcentaje de resoluciones obtenidas del Tribunal Federal de Justicia Fiscal y Administrativa donde se reconoce la comparecencia del Instituto.</v>
      </c>
      <c r="B128" s="240"/>
      <c r="C128" s="240"/>
      <c r="D128" s="240"/>
      <c r="E128" s="240"/>
      <c r="F128" s="240"/>
      <c r="G128" s="240"/>
    </row>
    <row r="129" spans="1:7" s="31" customFormat="1" ht="15.75">
      <c r="A129" s="33" t="s">
        <v>193</v>
      </c>
      <c r="B129" s="206" t="s">
        <v>201</v>
      </c>
      <c r="C129" s="206"/>
      <c r="D129" s="206"/>
      <c r="E129" s="206"/>
      <c r="F129" s="206"/>
      <c r="G129" s="206"/>
    </row>
    <row r="130" spans="1:7" s="31" customFormat="1" ht="15.75">
      <c r="A130" s="33" t="s">
        <v>6</v>
      </c>
      <c r="B130" s="206" t="s">
        <v>200</v>
      </c>
      <c r="C130" s="206"/>
      <c r="D130" s="206"/>
      <c r="E130" s="206"/>
      <c r="F130" s="206"/>
      <c r="G130" s="206"/>
    </row>
    <row r="131" spans="1:7" s="31" customFormat="1" ht="15.75">
      <c r="A131" s="33" t="s">
        <v>195</v>
      </c>
      <c r="B131" s="206"/>
      <c r="C131" s="206"/>
      <c r="D131" s="206"/>
      <c r="E131" s="206"/>
      <c r="F131" s="206"/>
      <c r="G131" s="206"/>
    </row>
    <row r="132" spans="1:7" s="31" customFormat="1" ht="15.75">
      <c r="A132" s="240" t="str">
        <f>A55</f>
        <v>Promedio de días para la atención de solicitudes de asesoría legal</v>
      </c>
      <c r="B132" s="240"/>
      <c r="C132" s="240"/>
      <c r="D132" s="240"/>
      <c r="E132" s="240"/>
      <c r="F132" s="240"/>
      <c r="G132" s="240"/>
    </row>
    <row r="133" spans="1:7" s="31" customFormat="1" ht="15.75">
      <c r="A133" s="33" t="s">
        <v>193</v>
      </c>
      <c r="B133" s="206" t="s">
        <v>202</v>
      </c>
      <c r="C133" s="206"/>
      <c r="D133" s="206"/>
      <c r="E133" s="206"/>
      <c r="F133" s="206"/>
      <c r="G133" s="206"/>
    </row>
    <row r="134" spans="1:7" s="31" customFormat="1" ht="31.5" customHeight="1">
      <c r="A134" s="33" t="s">
        <v>6</v>
      </c>
      <c r="B134" s="206" t="s">
        <v>203</v>
      </c>
      <c r="C134" s="206"/>
      <c r="D134" s="206"/>
      <c r="E134" s="206"/>
      <c r="F134" s="206"/>
      <c r="G134" s="206"/>
    </row>
    <row r="135" spans="1:7" s="31" customFormat="1" ht="15.75">
      <c r="A135" s="33" t="s">
        <v>195</v>
      </c>
      <c r="B135" s="206"/>
      <c r="C135" s="206"/>
      <c r="D135" s="206"/>
      <c r="E135" s="206"/>
      <c r="F135" s="206"/>
      <c r="G135" s="206"/>
    </row>
    <row r="136" spans="1:7" s="31" customFormat="1" ht="15.75">
      <c r="A136" s="240" t="str">
        <f>A59</f>
        <v>Porcentaje de asuntos correctamente publicados en el Diario Oficial de la Federación.</v>
      </c>
      <c r="B136" s="240"/>
      <c r="C136" s="240"/>
      <c r="D136" s="240"/>
      <c r="E136" s="240"/>
      <c r="F136" s="240"/>
      <c r="G136" s="240"/>
    </row>
    <row r="137" spans="1:7" s="31" customFormat="1" ht="15.75">
      <c r="A137" s="33" t="s">
        <v>193</v>
      </c>
      <c r="B137" s="206" t="s">
        <v>204</v>
      </c>
      <c r="C137" s="206"/>
      <c r="D137" s="206"/>
      <c r="E137" s="206"/>
      <c r="F137" s="206"/>
      <c r="G137" s="206"/>
    </row>
    <row r="138" spans="1:7" s="31" customFormat="1" ht="31.5" customHeight="1">
      <c r="A138" s="33" t="s">
        <v>6</v>
      </c>
      <c r="B138" s="206" t="s">
        <v>205</v>
      </c>
      <c r="C138" s="206"/>
      <c r="D138" s="206"/>
      <c r="E138" s="206"/>
      <c r="F138" s="206"/>
      <c r="G138" s="206"/>
    </row>
    <row r="139" spans="1:7" s="31" customFormat="1" ht="15.75">
      <c r="A139" s="33" t="s">
        <v>195</v>
      </c>
      <c r="B139" s="206"/>
      <c r="C139" s="206"/>
      <c r="D139" s="206"/>
      <c r="E139" s="206"/>
      <c r="F139" s="206"/>
      <c r="G139" s="206"/>
    </row>
    <row r="140" spans="1:7" s="31" customFormat="1" ht="15.75">
      <c r="A140" s="240" t="str">
        <f>A63</f>
        <v>Porcentaje de respuestas dadas a las solicitudes de información </v>
      </c>
      <c r="B140" s="240"/>
      <c r="C140" s="240"/>
      <c r="D140" s="240"/>
      <c r="E140" s="240"/>
      <c r="F140" s="240"/>
      <c r="G140" s="240"/>
    </row>
    <row r="141" spans="1:7" s="31" customFormat="1" ht="15.75">
      <c r="A141" s="33" t="s">
        <v>193</v>
      </c>
      <c r="B141" s="206" t="s">
        <v>206</v>
      </c>
      <c r="C141" s="206"/>
      <c r="D141" s="206"/>
      <c r="E141" s="206"/>
      <c r="F141" s="206"/>
      <c r="G141" s="206"/>
    </row>
    <row r="142" spans="1:7" s="31" customFormat="1" ht="31.5" customHeight="1">
      <c r="A142" s="33" t="s">
        <v>6</v>
      </c>
      <c r="B142" s="206" t="s">
        <v>207</v>
      </c>
      <c r="C142" s="206"/>
      <c r="D142" s="206"/>
      <c r="E142" s="206"/>
      <c r="F142" s="206"/>
      <c r="G142" s="206"/>
    </row>
    <row r="143" spans="1:7" s="31" customFormat="1" ht="15.75">
      <c r="A143" s="33" t="s">
        <v>195</v>
      </c>
      <c r="B143" s="206"/>
      <c r="C143" s="206"/>
      <c r="D143" s="206"/>
      <c r="E143" s="206"/>
      <c r="F143" s="206"/>
      <c r="G143" s="206"/>
    </row>
    <row r="144" spans="1:7" s="31" customFormat="1" ht="15.75">
      <c r="A144" s="239" t="str">
        <f>A67</f>
        <v>Porcentaje de  proyectos de  resoluciones elaborados.</v>
      </c>
      <c r="B144" s="239"/>
      <c r="C144" s="239"/>
      <c r="D144" s="239"/>
      <c r="E144" s="239"/>
      <c r="F144" s="239"/>
      <c r="G144" s="239"/>
    </row>
    <row r="145" spans="1:7" s="31" customFormat="1" ht="53.25" customHeight="1">
      <c r="A145" s="32" t="s">
        <v>193</v>
      </c>
      <c r="B145" s="205" t="s">
        <v>208</v>
      </c>
      <c r="C145" s="205"/>
      <c r="D145" s="205"/>
      <c r="E145" s="205"/>
      <c r="F145" s="205"/>
      <c r="G145" s="205"/>
    </row>
    <row r="146" spans="1:7" s="31" customFormat="1" ht="15.75">
      <c r="A146" s="33" t="s">
        <v>6</v>
      </c>
      <c r="B146" s="205" t="s">
        <v>209</v>
      </c>
      <c r="C146" s="205"/>
      <c r="D146" s="205"/>
      <c r="E146" s="205"/>
      <c r="F146" s="205"/>
      <c r="G146" s="205"/>
    </row>
    <row r="147" spans="1:7" s="31" customFormat="1" ht="15.75">
      <c r="A147" s="33" t="s">
        <v>195</v>
      </c>
      <c r="B147" s="206"/>
      <c r="C147" s="206"/>
      <c r="D147" s="206"/>
      <c r="E147" s="206"/>
      <c r="F147" s="206"/>
      <c r="G147" s="206"/>
    </row>
    <row r="148" spans="1:7" s="31" customFormat="1" ht="15.75">
      <c r="A148" s="240" t="str">
        <f>A71</f>
        <v>Porcentaje de  cumplimientos realizados.</v>
      </c>
      <c r="B148" s="240"/>
      <c r="C148" s="240"/>
      <c r="D148" s="240"/>
      <c r="E148" s="240"/>
      <c r="F148" s="240"/>
      <c r="G148" s="240"/>
    </row>
    <row r="149" spans="1:7" s="31" customFormat="1" ht="15.75">
      <c r="A149" s="33" t="s">
        <v>193</v>
      </c>
      <c r="B149" s="206" t="s">
        <v>210</v>
      </c>
      <c r="C149" s="206"/>
      <c r="D149" s="206"/>
      <c r="E149" s="206"/>
      <c r="F149" s="206"/>
      <c r="G149" s="206"/>
    </row>
    <row r="150" spans="1:7" s="31" customFormat="1" ht="15.75">
      <c r="A150" s="33" t="s">
        <v>6</v>
      </c>
      <c r="B150" s="206" t="s">
        <v>211</v>
      </c>
      <c r="C150" s="206"/>
      <c r="D150" s="206"/>
      <c r="E150" s="206"/>
      <c r="F150" s="206"/>
      <c r="G150" s="206"/>
    </row>
    <row r="151" spans="1:7" s="31" customFormat="1" ht="15.75">
      <c r="A151" s="33" t="s">
        <v>195</v>
      </c>
      <c r="B151" s="206"/>
      <c r="C151" s="206"/>
      <c r="D151" s="206"/>
      <c r="E151" s="206"/>
      <c r="F151" s="206"/>
      <c r="G151" s="206"/>
    </row>
    <row r="152" spans="1:7" s="31" customFormat="1" ht="15.75">
      <c r="A152" s="240" t="str">
        <f>A77</f>
        <v>Porcentaje de atención a los juicios de amparo notificados al Instituto por el Poder Judicial de la Federación.</v>
      </c>
      <c r="B152" s="240"/>
      <c r="C152" s="240"/>
      <c r="D152" s="240"/>
      <c r="E152" s="240"/>
      <c r="F152" s="240"/>
      <c r="G152" s="240"/>
    </row>
    <row r="153" spans="1:7" s="31" customFormat="1" ht="15.75">
      <c r="A153" s="33" t="s">
        <v>193</v>
      </c>
      <c r="B153" s="206" t="s">
        <v>212</v>
      </c>
      <c r="C153" s="206"/>
      <c r="D153" s="206"/>
      <c r="E153" s="206"/>
      <c r="F153" s="206"/>
      <c r="G153" s="206"/>
    </row>
    <row r="154" spans="1:7" s="31" customFormat="1" ht="15.75">
      <c r="A154" s="33" t="s">
        <v>6</v>
      </c>
      <c r="B154" s="206" t="s">
        <v>213</v>
      </c>
      <c r="C154" s="206"/>
      <c r="D154" s="206"/>
      <c r="E154" s="206"/>
      <c r="F154" s="206"/>
      <c r="G154" s="206"/>
    </row>
    <row r="155" spans="1:7" s="31" customFormat="1" ht="15.75">
      <c r="A155" s="33" t="s">
        <v>195</v>
      </c>
      <c r="B155" s="206"/>
      <c r="C155" s="206"/>
      <c r="D155" s="206"/>
      <c r="E155" s="206"/>
      <c r="F155" s="206"/>
      <c r="G155" s="206"/>
    </row>
    <row r="156" spans="1:7" s="31" customFormat="1" ht="15.75">
      <c r="A156" s="240" t="str">
        <f>A81</f>
        <v>Porcentaje de atención a los juicios de nulidad notificados al Instituto por el Tribunal Federal de Justicia Fiscal y Administrativa.</v>
      </c>
      <c r="B156" s="240"/>
      <c r="C156" s="240"/>
      <c r="D156" s="240"/>
      <c r="E156" s="240"/>
      <c r="F156" s="240"/>
      <c r="G156" s="240"/>
    </row>
    <row r="157" spans="1:7" s="31" customFormat="1" ht="15.75">
      <c r="A157" s="33" t="s">
        <v>193</v>
      </c>
      <c r="B157" s="206" t="s">
        <v>214</v>
      </c>
      <c r="C157" s="206"/>
      <c r="D157" s="206"/>
      <c r="E157" s="206"/>
      <c r="F157" s="206"/>
      <c r="G157" s="206"/>
    </row>
    <row r="158" spans="1:7" s="31" customFormat="1" ht="15.75">
      <c r="A158" s="33" t="s">
        <v>6</v>
      </c>
      <c r="B158" s="206" t="s">
        <v>213</v>
      </c>
      <c r="C158" s="206"/>
      <c r="D158" s="206"/>
      <c r="E158" s="206"/>
      <c r="F158" s="206"/>
      <c r="G158" s="206"/>
    </row>
    <row r="159" spans="1:7" s="31" customFormat="1" ht="15.75">
      <c r="A159" s="33" t="s">
        <v>195</v>
      </c>
      <c r="B159" s="206"/>
      <c r="C159" s="206"/>
      <c r="D159" s="206"/>
      <c r="E159" s="206"/>
      <c r="F159" s="206"/>
      <c r="G159" s="206"/>
    </row>
    <row r="160" spans="1:7" s="31" customFormat="1" ht="15.75">
      <c r="A160" s="240" t="str">
        <f>A85</f>
        <v> Porcentaje de atención de consultas internas. </v>
      </c>
      <c r="B160" s="240"/>
      <c r="C160" s="240"/>
      <c r="D160" s="240"/>
      <c r="E160" s="240"/>
      <c r="F160" s="240"/>
      <c r="G160" s="240"/>
    </row>
    <row r="161" spans="1:7" s="31" customFormat="1" ht="15.75">
      <c r="A161" s="33" t="s">
        <v>193</v>
      </c>
      <c r="B161" s="206" t="s">
        <v>215</v>
      </c>
      <c r="C161" s="206"/>
      <c r="D161" s="206"/>
      <c r="E161" s="206"/>
      <c r="F161" s="206"/>
      <c r="G161" s="206"/>
    </row>
    <row r="162" spans="1:7" s="31" customFormat="1" ht="31.5" customHeight="1">
      <c r="A162" s="33" t="s">
        <v>6</v>
      </c>
      <c r="B162" s="206" t="s">
        <v>203</v>
      </c>
      <c r="C162" s="206"/>
      <c r="D162" s="206"/>
      <c r="E162" s="206"/>
      <c r="F162" s="206"/>
      <c r="G162" s="206"/>
    </row>
    <row r="163" spans="1:7" s="31" customFormat="1" ht="15.75">
      <c r="A163" s="33" t="s">
        <v>195</v>
      </c>
      <c r="B163" s="206"/>
      <c r="C163" s="206"/>
      <c r="D163" s="206"/>
      <c r="E163" s="206"/>
      <c r="F163" s="206"/>
      <c r="G163" s="206"/>
    </row>
    <row r="164" spans="1:7" s="31" customFormat="1" ht="15.75">
      <c r="A164" s="240" t="str">
        <f>A89</f>
        <v> Porcentaje de atención de convenios </v>
      </c>
      <c r="B164" s="240"/>
      <c r="C164" s="240"/>
      <c r="D164" s="240"/>
      <c r="E164" s="240"/>
      <c r="F164" s="240"/>
      <c r="G164" s="240"/>
    </row>
    <row r="165" spans="1:7" s="31" customFormat="1" ht="15.75">
      <c r="A165" s="33" t="s">
        <v>193</v>
      </c>
      <c r="B165" s="206" t="s">
        <v>216</v>
      </c>
      <c r="C165" s="206"/>
      <c r="D165" s="206"/>
      <c r="E165" s="206"/>
      <c r="F165" s="206"/>
      <c r="G165" s="206"/>
    </row>
    <row r="166" spans="1:7" s="31" customFormat="1" ht="15.75">
      <c r="A166" s="33" t="s">
        <v>6</v>
      </c>
      <c r="B166" s="206" t="s">
        <v>217</v>
      </c>
      <c r="C166" s="206"/>
      <c r="D166" s="206"/>
      <c r="E166" s="206"/>
      <c r="F166" s="206"/>
      <c r="G166" s="206"/>
    </row>
    <row r="167" spans="1:7" s="31" customFormat="1" ht="15.75">
      <c r="A167" s="33" t="s">
        <v>195</v>
      </c>
      <c r="B167" s="206"/>
      <c r="C167" s="206"/>
      <c r="D167" s="206"/>
      <c r="E167" s="206"/>
      <c r="F167" s="206"/>
      <c r="G167" s="206"/>
    </row>
    <row r="168" spans="1:7" s="31" customFormat="1" ht="15.75">
      <c r="A168" s="240" t="str">
        <f>A93</f>
        <v>Porcentaje de atención a los asuntos que requieren publicación el Diario Oficial de la Federación.</v>
      </c>
      <c r="B168" s="240"/>
      <c r="C168" s="240"/>
      <c r="D168" s="240"/>
      <c r="E168" s="240"/>
      <c r="F168" s="240"/>
      <c r="G168" s="240"/>
    </row>
    <row r="169" spans="1:7" s="31" customFormat="1" ht="15.75">
      <c r="A169" s="33" t="s">
        <v>193</v>
      </c>
      <c r="B169" s="206" t="s">
        <v>218</v>
      </c>
      <c r="C169" s="206"/>
      <c r="D169" s="206"/>
      <c r="E169" s="206"/>
      <c r="F169" s="206"/>
      <c r="G169" s="206"/>
    </row>
    <row r="170" spans="1:7" s="31" customFormat="1" ht="15.75">
      <c r="A170" s="33" t="s">
        <v>6</v>
      </c>
      <c r="B170" s="206" t="s">
        <v>219</v>
      </c>
      <c r="C170" s="206"/>
      <c r="D170" s="206"/>
      <c r="E170" s="206"/>
      <c r="F170" s="206"/>
      <c r="G170" s="206"/>
    </row>
    <row r="171" spans="1:7" s="31" customFormat="1" ht="15.75">
      <c r="A171" s="33" t="s">
        <v>195</v>
      </c>
      <c r="B171" s="206"/>
      <c r="C171" s="206"/>
      <c r="D171" s="206"/>
      <c r="E171" s="206"/>
      <c r="F171" s="206"/>
      <c r="G171" s="206"/>
    </row>
    <row r="172" spans="1:7" s="31" customFormat="1" ht="15.75">
      <c r="A172" s="240" t="str">
        <f>A97</f>
        <v>Porcentaje de atención a las solicitudes de información.</v>
      </c>
      <c r="B172" s="240"/>
      <c r="C172" s="240"/>
      <c r="D172" s="240"/>
      <c r="E172" s="240"/>
      <c r="F172" s="240"/>
      <c r="G172" s="240"/>
    </row>
    <row r="173" spans="1:7" s="31" customFormat="1" ht="15.75">
      <c r="A173" s="33" t="s">
        <v>193</v>
      </c>
      <c r="B173" s="206" t="s">
        <v>220</v>
      </c>
      <c r="C173" s="206"/>
      <c r="D173" s="206"/>
      <c r="E173" s="206"/>
      <c r="F173" s="206"/>
      <c r="G173" s="206"/>
    </row>
    <row r="174" spans="1:7" s="31" customFormat="1" ht="15.75">
      <c r="A174" s="33" t="s">
        <v>6</v>
      </c>
      <c r="B174" s="206" t="s">
        <v>221</v>
      </c>
      <c r="C174" s="206"/>
      <c r="D174" s="206"/>
      <c r="E174" s="206"/>
      <c r="F174" s="206"/>
      <c r="G174" s="206"/>
    </row>
    <row r="175" spans="1:7" s="31" customFormat="1" ht="15.75">
      <c r="A175" s="33" t="s">
        <v>195</v>
      </c>
      <c r="B175" s="206"/>
      <c r="C175" s="206"/>
      <c r="D175" s="206"/>
      <c r="E175" s="206"/>
      <c r="F175" s="206"/>
      <c r="G175" s="206"/>
    </row>
    <row r="176" spans="1:7" s="31" customFormat="1" ht="15.75">
      <c r="A176" s="240" t="str">
        <f>A101</f>
        <v>Porcentaje de atención a las solicitudes  formuladas al Comité de Transparencia.</v>
      </c>
      <c r="B176" s="240"/>
      <c r="C176" s="240"/>
      <c r="D176" s="240"/>
      <c r="E176" s="240"/>
      <c r="F176" s="240"/>
      <c r="G176" s="240"/>
    </row>
    <row r="177" spans="1:7" s="31" customFormat="1" ht="55.5" customHeight="1">
      <c r="A177" s="33" t="s">
        <v>193</v>
      </c>
      <c r="B177" s="206" t="s">
        <v>222</v>
      </c>
      <c r="C177" s="206"/>
      <c r="D177" s="206"/>
      <c r="E177" s="206"/>
      <c r="F177" s="206"/>
      <c r="G177" s="206"/>
    </row>
    <row r="178" spans="1:7" s="31" customFormat="1" ht="15.75">
      <c r="A178" s="33" t="s">
        <v>6</v>
      </c>
      <c r="B178" s="206" t="s">
        <v>223</v>
      </c>
      <c r="C178" s="206"/>
      <c r="D178" s="206"/>
      <c r="E178" s="206"/>
      <c r="F178" s="206"/>
      <c r="G178" s="206"/>
    </row>
    <row r="179" spans="1:7" s="31" customFormat="1" ht="15.75">
      <c r="A179" s="33" t="s">
        <v>195</v>
      </c>
      <c r="B179" s="206"/>
      <c r="C179" s="206"/>
      <c r="D179" s="206"/>
      <c r="E179" s="206"/>
      <c r="F179" s="206"/>
      <c r="G179" s="206"/>
    </row>
    <row r="180" spans="1:7" s="31" customFormat="1" ht="15.75">
      <c r="A180" s="240" t="str">
        <f>A105</f>
        <v>Porcentaje de atención a los recursos de revisión interpuestos.</v>
      </c>
      <c r="B180" s="240"/>
      <c r="C180" s="240"/>
      <c r="D180" s="240"/>
      <c r="E180" s="240"/>
      <c r="F180" s="240"/>
      <c r="G180" s="240"/>
    </row>
    <row r="181" spans="1:7" s="31" customFormat="1" ht="15.75">
      <c r="A181" s="33" t="s">
        <v>193</v>
      </c>
      <c r="B181" s="206" t="s">
        <v>224</v>
      </c>
      <c r="C181" s="206"/>
      <c r="D181" s="206"/>
      <c r="E181" s="206"/>
      <c r="F181" s="206"/>
      <c r="G181" s="206"/>
    </row>
    <row r="182" spans="1:7" s="31" customFormat="1" ht="15.75">
      <c r="A182" s="33" t="s">
        <v>6</v>
      </c>
      <c r="B182" s="206" t="s">
        <v>223</v>
      </c>
      <c r="C182" s="206"/>
      <c r="D182" s="206"/>
      <c r="E182" s="206"/>
      <c r="F182" s="206"/>
      <c r="G182" s="206"/>
    </row>
    <row r="183" spans="1:7" s="31" customFormat="1" ht="15.75">
      <c r="A183" s="33" t="s">
        <v>195</v>
      </c>
      <c r="B183" s="206"/>
      <c r="C183" s="206"/>
      <c r="D183" s="206"/>
      <c r="E183" s="206"/>
      <c r="F183" s="206"/>
      <c r="G183" s="206"/>
    </row>
    <row r="184" spans="1:7" s="31" customFormat="1" ht="15.75">
      <c r="A184" s="240" t="str">
        <f>A109</f>
        <v>Porcentaje de comparecencia y cumplimiento de obligaciones del INAI en los recursos de revisión interpuestos.</v>
      </c>
      <c r="B184" s="240"/>
      <c r="C184" s="240"/>
      <c r="D184" s="240"/>
      <c r="E184" s="240"/>
      <c r="F184" s="240"/>
      <c r="G184" s="240"/>
    </row>
    <row r="185" spans="1:7" ht="15.75">
      <c r="A185" s="33" t="s">
        <v>193</v>
      </c>
      <c r="B185" s="206" t="s">
        <v>225</v>
      </c>
      <c r="C185" s="206"/>
      <c r="D185" s="206"/>
      <c r="E185" s="206"/>
      <c r="F185" s="206"/>
      <c r="G185" s="206"/>
    </row>
    <row r="186" spans="1:7" ht="15.75">
      <c r="A186" s="33" t="s">
        <v>6</v>
      </c>
      <c r="B186" s="206" t="s">
        <v>223</v>
      </c>
      <c r="C186" s="206"/>
      <c r="D186" s="206"/>
      <c r="E186" s="206"/>
      <c r="F186" s="206"/>
      <c r="G186" s="206"/>
    </row>
    <row r="187" spans="1:7" ht="15.75">
      <c r="A187" s="33" t="s">
        <v>195</v>
      </c>
      <c r="B187" s="206"/>
      <c r="C187" s="206"/>
      <c r="D187" s="206"/>
      <c r="E187" s="206"/>
      <c r="F187" s="206"/>
      <c r="G187" s="206"/>
    </row>
    <row r="188" spans="1:7" ht="15.75">
      <c r="A188" s="146"/>
      <c r="B188" s="146"/>
      <c r="C188" s="146"/>
      <c r="D188" s="146"/>
      <c r="E188" s="146"/>
      <c r="F188" s="146"/>
      <c r="G188" s="146"/>
    </row>
    <row r="189" spans="1:7" ht="15.75">
      <c r="A189" s="96" t="s">
        <v>226</v>
      </c>
      <c r="B189" s="96"/>
      <c r="C189" s="96"/>
      <c r="D189" s="96"/>
      <c r="E189" s="96"/>
      <c r="F189" s="96"/>
      <c r="G189" s="96"/>
    </row>
    <row r="190" spans="1:7" ht="15.75">
      <c r="A190" s="90" t="str">
        <f>A31</f>
        <v>Índice de Gestión para Resultados con enfoque de derechos humanos y perspectiva de género (IGpR)</v>
      </c>
      <c r="B190" s="90"/>
      <c r="C190" s="90"/>
      <c r="D190" s="90"/>
      <c r="E190" s="90"/>
      <c r="F190" s="90"/>
      <c r="G190" s="90"/>
    </row>
    <row r="191" spans="1:7" ht="31.5" customHeight="1">
      <c r="A191" s="33" t="s">
        <v>227</v>
      </c>
      <c r="B191" s="211" t="s">
        <v>228</v>
      </c>
      <c r="C191" s="211"/>
      <c r="D191" s="211"/>
      <c r="E191" s="211"/>
      <c r="F191" s="211"/>
      <c r="G191" s="211"/>
    </row>
    <row r="192" spans="1:7" ht="15.75">
      <c r="A192" s="146"/>
      <c r="B192" s="146"/>
      <c r="C192" s="146"/>
      <c r="D192" s="146"/>
      <c r="E192" s="146"/>
      <c r="F192" s="146"/>
      <c r="G192" s="146"/>
    </row>
    <row r="193" spans="1:7" ht="31.5" customHeight="1">
      <c r="A193" s="196" t="s">
        <v>229</v>
      </c>
      <c r="B193" s="197"/>
      <c r="C193" s="197"/>
      <c r="D193" s="197"/>
      <c r="E193" s="197"/>
      <c r="F193" s="197"/>
      <c r="G193" s="197"/>
    </row>
  </sheetData>
  <sheetProtection/>
  <mergeCells count="318">
    <mergeCell ref="A190:G190"/>
    <mergeCell ref="B191:G191"/>
    <mergeCell ref="A192:G192"/>
    <mergeCell ref="A193:G193"/>
    <mergeCell ref="A184:G184"/>
    <mergeCell ref="B185:G185"/>
    <mergeCell ref="B186:G186"/>
    <mergeCell ref="B187:G187"/>
    <mergeCell ref="A188:G188"/>
    <mergeCell ref="A189:G189"/>
    <mergeCell ref="B178:G178"/>
    <mergeCell ref="B179:G179"/>
    <mergeCell ref="A180:G180"/>
    <mergeCell ref="B181:G181"/>
    <mergeCell ref="B182:G182"/>
    <mergeCell ref="B183:G183"/>
    <mergeCell ref="A172:G172"/>
    <mergeCell ref="B173:G173"/>
    <mergeCell ref="B174:G174"/>
    <mergeCell ref="B175:G175"/>
    <mergeCell ref="A176:G176"/>
    <mergeCell ref="B177:G177"/>
    <mergeCell ref="B166:G166"/>
    <mergeCell ref="B167:G167"/>
    <mergeCell ref="A168:G168"/>
    <mergeCell ref="B169:G169"/>
    <mergeCell ref="B170:G170"/>
    <mergeCell ref="B171:G171"/>
    <mergeCell ref="A160:G160"/>
    <mergeCell ref="B161:G161"/>
    <mergeCell ref="B162:G162"/>
    <mergeCell ref="B163:G163"/>
    <mergeCell ref="A164:G164"/>
    <mergeCell ref="B165:G165"/>
    <mergeCell ref="B154:G154"/>
    <mergeCell ref="B155:G155"/>
    <mergeCell ref="A156:G156"/>
    <mergeCell ref="B157:G157"/>
    <mergeCell ref="B158:G158"/>
    <mergeCell ref="B159:G159"/>
    <mergeCell ref="A148:G148"/>
    <mergeCell ref="B149:G149"/>
    <mergeCell ref="B150:G150"/>
    <mergeCell ref="B151:G151"/>
    <mergeCell ref="A152:G152"/>
    <mergeCell ref="B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4" manualBreakCount="4">
    <brk id="48" max="255" man="1"/>
    <brk id="98" max="255" man="1"/>
    <brk id="143" max="255" man="1"/>
    <brk id="183" max="255" man="1"/>
  </rowBreaks>
</worksheet>
</file>

<file path=xl/worksheets/sheet29.xml><?xml version="1.0" encoding="utf-8"?>
<worksheet xmlns="http://schemas.openxmlformats.org/spreadsheetml/2006/main" xmlns:r="http://schemas.openxmlformats.org/officeDocument/2006/relationships">
  <dimension ref="A1:G163"/>
  <sheetViews>
    <sheetView showGridLines="0" tabSelected="1" view="pageBreakPreview" zoomScale="70" zoomScaleSheetLayoutView="70" zoomScalePageLayoutView="0" workbookViewId="0" topLeftCell="A139">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76"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 customHeight="1">
      <c r="A4" s="107" t="s">
        <v>83</v>
      </c>
      <c r="B4" s="108"/>
      <c r="C4" s="108"/>
      <c r="D4" s="108"/>
      <c r="E4" s="108"/>
      <c r="F4" s="108"/>
      <c r="G4" s="109"/>
    </row>
    <row r="5" spans="1:7" ht="31.5" customHeight="1">
      <c r="A5" s="137" t="s">
        <v>84</v>
      </c>
      <c r="B5" s="138"/>
      <c r="C5" s="139"/>
      <c r="D5" s="140" t="s">
        <v>85</v>
      </c>
      <c r="E5" s="141"/>
      <c r="F5" s="141"/>
      <c r="G5" s="142"/>
    </row>
    <row r="6" spans="1:7" ht="15" customHeight="1">
      <c r="A6" s="137" t="s">
        <v>86</v>
      </c>
      <c r="B6" s="138"/>
      <c r="C6" s="139"/>
      <c r="D6" s="140" t="s">
        <v>87</v>
      </c>
      <c r="E6" s="141"/>
      <c r="F6" s="141"/>
      <c r="G6" s="142"/>
    </row>
    <row r="7" spans="1:7" ht="15.75">
      <c r="A7" s="137" t="s">
        <v>88</v>
      </c>
      <c r="B7" s="138"/>
      <c r="C7" s="139"/>
      <c r="D7" s="140" t="s">
        <v>89</v>
      </c>
      <c r="E7" s="141"/>
      <c r="F7" s="141"/>
      <c r="G7" s="142"/>
    </row>
    <row r="8" spans="1:7" ht="15" customHeight="1">
      <c r="A8" s="137" t="s">
        <v>90</v>
      </c>
      <c r="B8" s="138"/>
      <c r="C8" s="139"/>
      <c r="D8" s="140" t="s">
        <v>1872</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v>
      </c>
      <c r="B13" s="166"/>
      <c r="C13" s="166"/>
      <c r="D13" s="166"/>
      <c r="E13" s="166"/>
      <c r="F13" s="166"/>
      <c r="G13" s="167"/>
    </row>
    <row r="14" spans="1:7" ht="16.5">
      <c r="A14" s="39"/>
      <c r="B14" s="163" t="s">
        <v>98</v>
      </c>
      <c r="C14" s="163"/>
      <c r="D14" s="163"/>
      <c r="E14" s="163"/>
      <c r="F14" s="163"/>
      <c r="G14" s="164"/>
    </row>
    <row r="15" spans="1:7" ht="15.75">
      <c r="A15" s="40"/>
      <c r="B15" s="168" t="s">
        <v>99</v>
      </c>
      <c r="C15" s="168"/>
      <c r="D15" s="168"/>
      <c r="E15" s="168"/>
      <c r="F15" s="168"/>
      <c r="G15" s="169"/>
    </row>
    <row r="16" spans="1:7" ht="15.75">
      <c r="A16" s="107" t="s">
        <v>100</v>
      </c>
      <c r="B16" s="108"/>
      <c r="C16" s="108"/>
      <c r="D16" s="108"/>
      <c r="E16" s="108"/>
      <c r="F16" s="108"/>
      <c r="G16" s="109"/>
    </row>
    <row r="17" spans="1:7" ht="15.75">
      <c r="A17" s="110" t="s">
        <v>101</v>
      </c>
      <c r="B17" s="111"/>
      <c r="C17" s="112" t="s">
        <v>102</v>
      </c>
      <c r="D17" s="113"/>
      <c r="E17" s="113"/>
      <c r="F17" s="113"/>
      <c r="G17" s="114"/>
    </row>
    <row r="18" spans="1:7" ht="13.5" customHeight="1">
      <c r="A18" s="110" t="s">
        <v>103</v>
      </c>
      <c r="B18" s="111"/>
      <c r="C18" s="112" t="s">
        <v>104</v>
      </c>
      <c r="D18" s="113"/>
      <c r="E18" s="113"/>
      <c r="F18" s="113"/>
      <c r="G18" s="114"/>
    </row>
    <row r="19" spans="1:7" ht="15.75" customHeight="1">
      <c r="A19" s="110" t="s">
        <v>105</v>
      </c>
      <c r="B19" s="111"/>
      <c r="C19" s="112" t="s">
        <v>106</v>
      </c>
      <c r="D19" s="113"/>
      <c r="E19" s="113"/>
      <c r="F19" s="113"/>
      <c r="G19" s="114"/>
    </row>
    <row r="20" spans="1:7" ht="15.75" customHeight="1">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'E004'!B17</f>
        <v>61.66549</v>
      </c>
      <c r="F24" s="43">
        <f>'E004'!C17</f>
        <v>67.23850594999999</v>
      </c>
      <c r="G24" s="44">
        <f>F24/E24</f>
        <v>1.0903749560734861</v>
      </c>
    </row>
    <row r="25" spans="1:7" ht="15.75">
      <c r="A25" s="123" t="s">
        <v>114</v>
      </c>
      <c r="B25" s="124"/>
      <c r="C25" s="124"/>
      <c r="D25" s="125"/>
      <c r="E25" s="43">
        <f>'E004'!B18</f>
        <v>67.23850595</v>
      </c>
      <c r="F25" s="43">
        <f>'E004'!C18</f>
        <v>67.23850594999999</v>
      </c>
      <c r="G25" s="44">
        <f>F25/E25</f>
        <v>0.9999999999999998</v>
      </c>
    </row>
    <row r="26" spans="1:7" ht="17.25" customHeight="1">
      <c r="A26" s="107" t="s">
        <v>115</v>
      </c>
      <c r="B26" s="108"/>
      <c r="C26" s="108"/>
      <c r="D26" s="108"/>
      <c r="E26" s="108"/>
      <c r="F26" s="108"/>
      <c r="G26" s="109"/>
    </row>
    <row r="27" spans="1:7" ht="17.25" customHeight="1">
      <c r="A27" s="107" t="s">
        <v>116</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2</v>
      </c>
    </row>
    <row r="30" spans="1:7" ht="15.75">
      <c r="A30" s="105"/>
      <c r="B30" s="105"/>
      <c r="C30" s="105"/>
      <c r="D30" s="105"/>
      <c r="E30" s="105"/>
      <c r="F30" s="45" t="s">
        <v>124</v>
      </c>
      <c r="G30" s="46">
        <v>3</v>
      </c>
    </row>
    <row r="31" spans="1:7" ht="44.25" customHeight="1">
      <c r="A31" s="100" t="s">
        <v>125</v>
      </c>
      <c r="B31" s="100" t="s">
        <v>1873</v>
      </c>
      <c r="C31" s="100" t="s">
        <v>127</v>
      </c>
      <c r="D31" s="102" t="s">
        <v>128</v>
      </c>
      <c r="E31" s="102" t="s">
        <v>129</v>
      </c>
      <c r="F31" s="45" t="s">
        <v>130</v>
      </c>
      <c r="G31" s="47">
        <f>(4.78+4.17+4.25+1.78+2.85+1.5)/6</f>
        <v>3.2216666666666662</v>
      </c>
    </row>
    <row r="32" spans="1:7" ht="44.25" customHeight="1">
      <c r="A32" s="101"/>
      <c r="B32" s="101"/>
      <c r="C32" s="101"/>
      <c r="D32" s="103"/>
      <c r="E32" s="103"/>
      <c r="F32" s="45" t="s">
        <v>131</v>
      </c>
      <c r="G32" s="47">
        <v>107.38888888888887</v>
      </c>
    </row>
    <row r="33" spans="1:7" ht="15.75">
      <c r="A33" s="96" t="s">
        <v>230</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70</v>
      </c>
    </row>
    <row r="36" spans="1:7" ht="15.75">
      <c r="A36" s="105"/>
      <c r="B36" s="105"/>
      <c r="C36" s="105"/>
      <c r="D36" s="105"/>
      <c r="E36" s="105"/>
      <c r="F36" s="45" t="s">
        <v>124</v>
      </c>
      <c r="G36" s="46">
        <v>70</v>
      </c>
    </row>
    <row r="37" spans="1:7" ht="15.75" customHeight="1">
      <c r="A37" s="100" t="s">
        <v>1874</v>
      </c>
      <c r="B37" s="100" t="s">
        <v>1875</v>
      </c>
      <c r="C37" s="100" t="s">
        <v>1876</v>
      </c>
      <c r="D37" s="102" t="s">
        <v>5</v>
      </c>
      <c r="E37" s="102" t="s">
        <v>129</v>
      </c>
      <c r="F37" s="45" t="s">
        <v>130</v>
      </c>
      <c r="G37" s="47">
        <f>(53/69)*100</f>
        <v>76.81159420289855</v>
      </c>
    </row>
    <row r="38" spans="1:7" ht="27">
      <c r="A38" s="101"/>
      <c r="B38" s="101"/>
      <c r="C38" s="101"/>
      <c r="D38" s="103"/>
      <c r="E38" s="103"/>
      <c r="F38" s="45" t="s">
        <v>131</v>
      </c>
      <c r="G38" s="47">
        <v>109.73084886128363</v>
      </c>
    </row>
    <row r="39" spans="1:7" ht="15.75">
      <c r="A39" s="96" t="s">
        <v>231</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18</v>
      </c>
    </row>
    <row r="42" spans="1:7" ht="15.75">
      <c r="A42" s="105"/>
      <c r="B42" s="105"/>
      <c r="C42" s="105"/>
      <c r="D42" s="105"/>
      <c r="E42" s="105"/>
      <c r="F42" s="45" t="s">
        <v>124</v>
      </c>
      <c r="G42" s="46">
        <v>18</v>
      </c>
    </row>
    <row r="43" spans="1:7" ht="32.25" customHeight="1">
      <c r="A43" s="100" t="s">
        <v>1877</v>
      </c>
      <c r="B43" s="100" t="s">
        <v>1878</v>
      </c>
      <c r="C43" s="100" t="s">
        <v>1879</v>
      </c>
      <c r="D43" s="102" t="s">
        <v>1880</v>
      </c>
      <c r="E43" s="102" t="s">
        <v>292</v>
      </c>
      <c r="F43" s="45" t="s">
        <v>130</v>
      </c>
      <c r="G43" s="47">
        <v>10</v>
      </c>
    </row>
    <row r="44" spans="1:7" ht="32.25" customHeight="1">
      <c r="A44" s="101"/>
      <c r="B44" s="101"/>
      <c r="C44" s="101"/>
      <c r="D44" s="103"/>
      <c r="E44" s="103"/>
      <c r="F44" s="45" t="s">
        <v>131</v>
      </c>
      <c r="G44" s="47">
        <v>55.55555555555556</v>
      </c>
    </row>
    <row r="45" spans="1:7" ht="15.75" customHeight="1">
      <c r="A45" s="104" t="s">
        <v>119</v>
      </c>
      <c r="B45" s="104" t="s">
        <v>120</v>
      </c>
      <c r="C45" s="104" t="s">
        <v>65</v>
      </c>
      <c r="D45" s="104" t="s">
        <v>121</v>
      </c>
      <c r="E45" s="104" t="s">
        <v>122</v>
      </c>
      <c r="F45" s="45" t="s">
        <v>123</v>
      </c>
      <c r="G45" s="46">
        <v>100</v>
      </c>
    </row>
    <row r="46" spans="1:7" ht="15.75">
      <c r="A46" s="105"/>
      <c r="B46" s="105"/>
      <c r="C46" s="105"/>
      <c r="D46" s="105"/>
      <c r="E46" s="105"/>
      <c r="F46" s="45" t="s">
        <v>124</v>
      </c>
      <c r="G46" s="46">
        <v>100</v>
      </c>
    </row>
    <row r="47" spans="1:7" ht="29.25" customHeight="1">
      <c r="A47" s="100" t="s">
        <v>1881</v>
      </c>
      <c r="B47" s="100" t="s">
        <v>1882</v>
      </c>
      <c r="C47" s="100" t="s">
        <v>1883</v>
      </c>
      <c r="D47" s="102" t="s">
        <v>5</v>
      </c>
      <c r="E47" s="102" t="s">
        <v>142</v>
      </c>
      <c r="F47" s="45" t="s">
        <v>130</v>
      </c>
      <c r="G47" s="47">
        <f>(5/5)*100</f>
        <v>100</v>
      </c>
    </row>
    <row r="48" spans="1:7" ht="29.25" customHeight="1">
      <c r="A48" s="101"/>
      <c r="B48" s="101"/>
      <c r="C48" s="101"/>
      <c r="D48" s="103"/>
      <c r="E48" s="103"/>
      <c r="F48" s="45" t="s">
        <v>131</v>
      </c>
      <c r="G48" s="47">
        <v>100</v>
      </c>
    </row>
    <row r="49" spans="1:7" ht="15.75">
      <c r="A49" s="96" t="s">
        <v>232</v>
      </c>
      <c r="B49" s="96"/>
      <c r="C49" s="96"/>
      <c r="D49" s="96"/>
      <c r="E49" s="96"/>
      <c r="F49" s="96"/>
      <c r="G49" s="96"/>
    </row>
    <row r="50" spans="1:7" ht="15.75">
      <c r="A50" s="106" t="s">
        <v>117</v>
      </c>
      <c r="B50" s="106"/>
      <c r="C50" s="106"/>
      <c r="D50" s="106"/>
      <c r="E50" s="106"/>
      <c r="F50" s="106" t="s">
        <v>118</v>
      </c>
      <c r="G50" s="106"/>
    </row>
    <row r="51" spans="1:7" ht="15.75" customHeight="1">
      <c r="A51" s="104" t="s">
        <v>119</v>
      </c>
      <c r="B51" s="104" t="s">
        <v>120</v>
      </c>
      <c r="C51" s="104" t="s">
        <v>65</v>
      </c>
      <c r="D51" s="104" t="s">
        <v>121</v>
      </c>
      <c r="E51" s="104" t="s">
        <v>122</v>
      </c>
      <c r="F51" s="45" t="s">
        <v>123</v>
      </c>
      <c r="G51" s="46">
        <v>90</v>
      </c>
    </row>
    <row r="52" spans="1:7" ht="15.75">
      <c r="A52" s="105"/>
      <c r="B52" s="105"/>
      <c r="C52" s="105"/>
      <c r="D52" s="105"/>
      <c r="E52" s="105"/>
      <c r="F52" s="45" t="s">
        <v>124</v>
      </c>
      <c r="G52" s="46">
        <v>90</v>
      </c>
    </row>
    <row r="53" spans="1:7" ht="30" customHeight="1">
      <c r="A53" s="100" t="s">
        <v>1884</v>
      </c>
      <c r="B53" s="100" t="s">
        <v>1885</v>
      </c>
      <c r="C53" s="100" t="s">
        <v>1886</v>
      </c>
      <c r="D53" s="102" t="s">
        <v>5</v>
      </c>
      <c r="E53" s="102" t="s">
        <v>298</v>
      </c>
      <c r="F53" s="45" t="s">
        <v>130</v>
      </c>
      <c r="G53" s="47">
        <f>(24/26)*100</f>
        <v>92.3076923076923</v>
      </c>
    </row>
    <row r="54" spans="1:7" ht="30" customHeight="1">
      <c r="A54" s="101"/>
      <c r="B54" s="101"/>
      <c r="C54" s="101"/>
      <c r="D54" s="103"/>
      <c r="E54" s="103"/>
      <c r="F54" s="45" t="s">
        <v>131</v>
      </c>
      <c r="G54" s="47">
        <v>102.56410256410255</v>
      </c>
    </row>
    <row r="55" spans="1:7" ht="15.75" customHeight="1">
      <c r="A55" s="104" t="s">
        <v>119</v>
      </c>
      <c r="B55" s="104" t="s">
        <v>120</v>
      </c>
      <c r="C55" s="104" t="s">
        <v>65</v>
      </c>
      <c r="D55" s="104" t="s">
        <v>121</v>
      </c>
      <c r="E55" s="104" t="s">
        <v>122</v>
      </c>
      <c r="F55" s="45" t="s">
        <v>123</v>
      </c>
      <c r="G55" s="46">
        <v>100</v>
      </c>
    </row>
    <row r="56" spans="1:7" ht="15.75">
      <c r="A56" s="105"/>
      <c r="B56" s="105"/>
      <c r="C56" s="105"/>
      <c r="D56" s="105"/>
      <c r="E56" s="105"/>
      <c r="F56" s="45" t="s">
        <v>124</v>
      </c>
      <c r="G56" s="46">
        <v>100</v>
      </c>
    </row>
    <row r="57" spans="1:7" ht="15.75" customHeight="1">
      <c r="A57" s="100" t="s">
        <v>1887</v>
      </c>
      <c r="B57" s="100" t="s">
        <v>1888</v>
      </c>
      <c r="C57" s="100" t="s">
        <v>1889</v>
      </c>
      <c r="D57" s="102" t="s">
        <v>5</v>
      </c>
      <c r="E57" s="102" t="s">
        <v>167</v>
      </c>
      <c r="F57" s="45" t="s">
        <v>130</v>
      </c>
      <c r="G57" s="47">
        <f>(16/16)*100</f>
        <v>100</v>
      </c>
    </row>
    <row r="58" spans="1:7" ht="27">
      <c r="A58" s="101"/>
      <c r="B58" s="101"/>
      <c r="C58" s="101"/>
      <c r="D58" s="103"/>
      <c r="E58" s="103"/>
      <c r="F58" s="45" t="s">
        <v>131</v>
      </c>
      <c r="G58" s="47">
        <v>100</v>
      </c>
    </row>
    <row r="59" spans="1:7" ht="15.75" customHeight="1">
      <c r="A59" s="104" t="s">
        <v>119</v>
      </c>
      <c r="B59" s="104" t="s">
        <v>120</v>
      </c>
      <c r="C59" s="104" t="s">
        <v>65</v>
      </c>
      <c r="D59" s="104" t="s">
        <v>121</v>
      </c>
      <c r="E59" s="104" t="s">
        <v>122</v>
      </c>
      <c r="F59" s="45" t="s">
        <v>123</v>
      </c>
      <c r="G59" s="46">
        <v>65</v>
      </c>
    </row>
    <row r="60" spans="1:7" ht="15.75">
      <c r="A60" s="105"/>
      <c r="B60" s="105"/>
      <c r="C60" s="105"/>
      <c r="D60" s="105"/>
      <c r="E60" s="105"/>
      <c r="F60" s="45" t="s">
        <v>124</v>
      </c>
      <c r="G60" s="46">
        <v>100</v>
      </c>
    </row>
    <row r="61" spans="1:7" ht="15.75" customHeight="1">
      <c r="A61" s="100" t="s">
        <v>1890</v>
      </c>
      <c r="B61" s="100" t="s">
        <v>1891</v>
      </c>
      <c r="C61" s="100" t="s">
        <v>1892</v>
      </c>
      <c r="D61" s="102" t="s">
        <v>5</v>
      </c>
      <c r="E61" s="102" t="s">
        <v>142</v>
      </c>
      <c r="F61" s="45" t="s">
        <v>130</v>
      </c>
      <c r="G61" s="47" t="s">
        <v>668</v>
      </c>
    </row>
    <row r="62" spans="1:7" ht="27">
      <c r="A62" s="101"/>
      <c r="B62" s="101"/>
      <c r="C62" s="101"/>
      <c r="D62" s="103"/>
      <c r="E62" s="103"/>
      <c r="F62" s="45" t="s">
        <v>131</v>
      </c>
      <c r="G62" s="47" t="s">
        <v>668</v>
      </c>
    </row>
    <row r="63" spans="1:7" ht="15.75" customHeight="1">
      <c r="A63" s="104" t="s">
        <v>119</v>
      </c>
      <c r="B63" s="104" t="s">
        <v>120</v>
      </c>
      <c r="C63" s="104" t="s">
        <v>65</v>
      </c>
      <c r="D63" s="104" t="s">
        <v>121</v>
      </c>
      <c r="E63" s="104" t="s">
        <v>122</v>
      </c>
      <c r="F63" s="45" t="s">
        <v>123</v>
      </c>
      <c r="G63" s="46">
        <v>100</v>
      </c>
    </row>
    <row r="64" spans="1:7" ht="15.75">
      <c r="A64" s="105"/>
      <c r="B64" s="105"/>
      <c r="C64" s="105"/>
      <c r="D64" s="105"/>
      <c r="E64" s="105"/>
      <c r="F64" s="45" t="s">
        <v>124</v>
      </c>
      <c r="G64" s="46">
        <v>100</v>
      </c>
    </row>
    <row r="65" spans="1:7" ht="15.75" customHeight="1">
      <c r="A65" s="100" t="s">
        <v>1893</v>
      </c>
      <c r="B65" s="100" t="s">
        <v>1894</v>
      </c>
      <c r="C65" s="100" t="s">
        <v>1895</v>
      </c>
      <c r="D65" s="102" t="s">
        <v>5</v>
      </c>
      <c r="E65" s="102" t="s">
        <v>167</v>
      </c>
      <c r="F65" s="45" t="s">
        <v>130</v>
      </c>
      <c r="G65" s="47">
        <f>(32/32)*100</f>
        <v>100</v>
      </c>
    </row>
    <row r="66" spans="1:7" ht="27">
      <c r="A66" s="101"/>
      <c r="B66" s="101"/>
      <c r="C66" s="101"/>
      <c r="D66" s="103"/>
      <c r="E66" s="103"/>
      <c r="F66" s="45" t="s">
        <v>131</v>
      </c>
      <c r="G66" s="47">
        <v>100</v>
      </c>
    </row>
    <row r="67" spans="1:7" ht="15.75" customHeight="1">
      <c r="A67" s="104" t="s">
        <v>119</v>
      </c>
      <c r="B67" s="104" t="s">
        <v>120</v>
      </c>
      <c r="C67" s="104" t="s">
        <v>65</v>
      </c>
      <c r="D67" s="104" t="s">
        <v>121</v>
      </c>
      <c r="E67" s="104" t="s">
        <v>122</v>
      </c>
      <c r="F67" s="45" t="s">
        <v>123</v>
      </c>
      <c r="G67" s="46">
        <v>10</v>
      </c>
    </row>
    <row r="68" spans="1:7" ht="15.75">
      <c r="A68" s="105"/>
      <c r="B68" s="105"/>
      <c r="C68" s="105"/>
      <c r="D68" s="105"/>
      <c r="E68" s="105"/>
      <c r="F68" s="45" t="s">
        <v>124</v>
      </c>
      <c r="G68" s="46">
        <v>10</v>
      </c>
    </row>
    <row r="69" spans="1:7" ht="30" customHeight="1">
      <c r="A69" s="100" t="s">
        <v>1896</v>
      </c>
      <c r="B69" s="100" t="s">
        <v>1897</v>
      </c>
      <c r="C69" s="100" t="s">
        <v>1898</v>
      </c>
      <c r="D69" s="102" t="s">
        <v>149</v>
      </c>
      <c r="E69" s="102" t="s">
        <v>298</v>
      </c>
      <c r="F69" s="45" t="s">
        <v>130</v>
      </c>
      <c r="G69" s="47">
        <f>(5+13+11+8)/4</f>
        <v>9.25</v>
      </c>
    </row>
    <row r="70" spans="1:7" ht="30" customHeight="1">
      <c r="A70" s="101"/>
      <c r="B70" s="101"/>
      <c r="C70" s="101"/>
      <c r="D70" s="103"/>
      <c r="E70" s="103"/>
      <c r="F70" s="45" t="s">
        <v>131</v>
      </c>
      <c r="G70" s="47">
        <v>107.5</v>
      </c>
    </row>
    <row r="71" spans="1:7" ht="15.75" customHeight="1">
      <c r="A71" s="104" t="s">
        <v>119</v>
      </c>
      <c r="B71" s="104" t="s">
        <v>120</v>
      </c>
      <c r="C71" s="104" t="s">
        <v>65</v>
      </c>
      <c r="D71" s="104" t="s">
        <v>121</v>
      </c>
      <c r="E71" s="104" t="s">
        <v>122</v>
      </c>
      <c r="F71" s="45" t="s">
        <v>123</v>
      </c>
      <c r="G71" s="46">
        <v>10</v>
      </c>
    </row>
    <row r="72" spans="1:7" ht="15.75">
      <c r="A72" s="105"/>
      <c r="B72" s="105"/>
      <c r="C72" s="105"/>
      <c r="D72" s="105"/>
      <c r="E72" s="105"/>
      <c r="F72" s="45" t="s">
        <v>124</v>
      </c>
      <c r="G72" s="46">
        <v>10</v>
      </c>
    </row>
    <row r="73" spans="1:7" ht="15.75" customHeight="1">
      <c r="A73" s="100" t="s">
        <v>1899</v>
      </c>
      <c r="B73" s="100" t="s">
        <v>1897</v>
      </c>
      <c r="C73" s="100" t="s">
        <v>1900</v>
      </c>
      <c r="D73" s="102" t="s">
        <v>5</v>
      </c>
      <c r="E73" s="102" t="s">
        <v>167</v>
      </c>
      <c r="F73" s="45" t="s">
        <v>130</v>
      </c>
      <c r="G73" s="47">
        <f>(116/356)*100</f>
        <v>32.58426966292135</v>
      </c>
    </row>
    <row r="74" spans="1:7" ht="27">
      <c r="A74" s="101"/>
      <c r="B74" s="101"/>
      <c r="C74" s="101"/>
      <c r="D74" s="103"/>
      <c r="E74" s="103"/>
      <c r="F74" s="45" t="s">
        <v>131</v>
      </c>
      <c r="G74" s="47">
        <v>-125.84269662921352</v>
      </c>
    </row>
    <row r="75" spans="1:7" ht="15.75" customHeight="1">
      <c r="A75" s="104" t="s">
        <v>119</v>
      </c>
      <c r="B75" s="104" t="s">
        <v>120</v>
      </c>
      <c r="C75" s="104" t="s">
        <v>65</v>
      </c>
      <c r="D75" s="104" t="s">
        <v>121</v>
      </c>
      <c r="E75" s="104" t="s">
        <v>122</v>
      </c>
      <c r="F75" s="45" t="s">
        <v>123</v>
      </c>
      <c r="G75" s="46">
        <v>90</v>
      </c>
    </row>
    <row r="76" spans="1:7" ht="15.75">
      <c r="A76" s="105"/>
      <c r="B76" s="105"/>
      <c r="C76" s="105"/>
      <c r="D76" s="105"/>
      <c r="E76" s="105"/>
      <c r="F76" s="45" t="s">
        <v>124</v>
      </c>
      <c r="G76" s="46">
        <v>90</v>
      </c>
    </row>
    <row r="77" spans="1:7" ht="15.75" customHeight="1">
      <c r="A77" s="100" t="s">
        <v>1901</v>
      </c>
      <c r="B77" s="100" t="s">
        <v>1902</v>
      </c>
      <c r="C77" s="100" t="s">
        <v>1903</v>
      </c>
      <c r="D77" s="102" t="s">
        <v>5</v>
      </c>
      <c r="E77" s="102" t="s">
        <v>1904</v>
      </c>
      <c r="F77" s="45" t="s">
        <v>130</v>
      </c>
      <c r="G77" s="47">
        <f>(195/200)*100</f>
        <v>97.5</v>
      </c>
    </row>
    <row r="78" spans="1:7" ht="27">
      <c r="A78" s="101"/>
      <c r="B78" s="101"/>
      <c r="C78" s="101"/>
      <c r="D78" s="103"/>
      <c r="E78" s="103"/>
      <c r="F78" s="45" t="s">
        <v>131</v>
      </c>
      <c r="G78" s="47">
        <v>108.33333333333333</v>
      </c>
    </row>
    <row r="79" spans="1:7" ht="15.75" customHeight="1">
      <c r="A79" s="104" t="s">
        <v>119</v>
      </c>
      <c r="B79" s="104" t="s">
        <v>120</v>
      </c>
      <c r="C79" s="104" t="s">
        <v>65</v>
      </c>
      <c r="D79" s="104" t="s">
        <v>121</v>
      </c>
      <c r="E79" s="104" t="s">
        <v>122</v>
      </c>
      <c r="F79" s="45" t="s">
        <v>123</v>
      </c>
      <c r="G79" s="46">
        <v>33</v>
      </c>
    </row>
    <row r="80" spans="1:7" ht="15.75">
      <c r="A80" s="105"/>
      <c r="B80" s="105"/>
      <c r="C80" s="105"/>
      <c r="D80" s="105"/>
      <c r="E80" s="105"/>
      <c r="F80" s="45" t="s">
        <v>124</v>
      </c>
      <c r="G80" s="46">
        <v>33</v>
      </c>
    </row>
    <row r="81" spans="1:7" ht="38.25" customHeight="1">
      <c r="A81" s="100" t="s">
        <v>1905</v>
      </c>
      <c r="B81" s="100" t="s">
        <v>1906</v>
      </c>
      <c r="C81" s="100" t="s">
        <v>1907</v>
      </c>
      <c r="D81" s="102" t="s">
        <v>5</v>
      </c>
      <c r="E81" s="102" t="s">
        <v>142</v>
      </c>
      <c r="F81" s="45" t="s">
        <v>130</v>
      </c>
      <c r="G81" s="47">
        <f>(163/717)*100</f>
        <v>22.733612273361228</v>
      </c>
    </row>
    <row r="82" spans="1:7" ht="38.25" customHeight="1">
      <c r="A82" s="101"/>
      <c r="B82" s="101"/>
      <c r="C82" s="101"/>
      <c r="D82" s="103"/>
      <c r="E82" s="103"/>
      <c r="F82" s="45" t="s">
        <v>131</v>
      </c>
      <c r="G82" s="47">
        <v>68.88973416170069</v>
      </c>
    </row>
    <row r="83" spans="1:7" ht="15.75" customHeight="1">
      <c r="A83" s="104" t="s">
        <v>119</v>
      </c>
      <c r="B83" s="104" t="s">
        <v>120</v>
      </c>
      <c r="C83" s="104" t="s">
        <v>65</v>
      </c>
      <c r="D83" s="104" t="s">
        <v>121</v>
      </c>
      <c r="E83" s="104" t="s">
        <v>122</v>
      </c>
      <c r="F83" s="45" t="s">
        <v>123</v>
      </c>
      <c r="G83" s="46">
        <v>80</v>
      </c>
    </row>
    <row r="84" spans="1:7" ht="15.75">
      <c r="A84" s="105"/>
      <c r="B84" s="105"/>
      <c r="C84" s="105"/>
      <c r="D84" s="105"/>
      <c r="E84" s="105"/>
      <c r="F84" s="45" t="s">
        <v>124</v>
      </c>
      <c r="G84" s="46">
        <v>80</v>
      </c>
    </row>
    <row r="85" spans="1:7" ht="39.75" customHeight="1">
      <c r="A85" s="100" t="s">
        <v>1908</v>
      </c>
      <c r="B85" s="100" t="s">
        <v>1906</v>
      </c>
      <c r="C85" s="100" t="s">
        <v>1909</v>
      </c>
      <c r="D85" s="102" t="s">
        <v>5</v>
      </c>
      <c r="E85" s="102" t="s">
        <v>1910</v>
      </c>
      <c r="F85" s="45" t="s">
        <v>130</v>
      </c>
      <c r="G85" s="47">
        <f>(76/163)*100</f>
        <v>46.62576687116564</v>
      </c>
    </row>
    <row r="86" spans="1:7" ht="39.75" customHeight="1">
      <c r="A86" s="101"/>
      <c r="B86" s="101"/>
      <c r="C86" s="101"/>
      <c r="D86" s="103"/>
      <c r="E86" s="103"/>
      <c r="F86" s="45" t="s">
        <v>131</v>
      </c>
      <c r="G86" s="47">
        <v>58.282208588957054</v>
      </c>
    </row>
    <row r="87" spans="1:7" ht="15.75" customHeight="1">
      <c r="A87" s="104" t="s">
        <v>119</v>
      </c>
      <c r="B87" s="104" t="s">
        <v>120</v>
      </c>
      <c r="C87" s="104" t="s">
        <v>65</v>
      </c>
      <c r="D87" s="104" t="s">
        <v>121</v>
      </c>
      <c r="E87" s="104" t="s">
        <v>122</v>
      </c>
      <c r="F87" s="45" t="s">
        <v>123</v>
      </c>
      <c r="G87" s="46">
        <v>100</v>
      </c>
    </row>
    <row r="88" spans="1:7" ht="15.75">
      <c r="A88" s="105"/>
      <c r="B88" s="105"/>
      <c r="C88" s="105"/>
      <c r="D88" s="105"/>
      <c r="E88" s="105"/>
      <c r="F88" s="45" t="s">
        <v>124</v>
      </c>
      <c r="G88" s="46">
        <v>100</v>
      </c>
    </row>
    <row r="89" spans="1:7" ht="30.75" customHeight="1">
      <c r="A89" s="100" t="s">
        <v>1911</v>
      </c>
      <c r="B89" s="100" t="s">
        <v>1912</v>
      </c>
      <c r="C89" s="100" t="s">
        <v>1913</v>
      </c>
      <c r="D89" s="102" t="s">
        <v>5</v>
      </c>
      <c r="E89" s="102" t="s">
        <v>142</v>
      </c>
      <c r="F89" s="45" t="s">
        <v>130</v>
      </c>
      <c r="G89" s="47">
        <f>(49/48)*100</f>
        <v>102.08333333333333</v>
      </c>
    </row>
    <row r="90" spans="1:7" ht="30.75" customHeight="1">
      <c r="A90" s="101"/>
      <c r="B90" s="101"/>
      <c r="C90" s="101"/>
      <c r="D90" s="103"/>
      <c r="E90" s="103"/>
      <c r="F90" s="45" t="s">
        <v>131</v>
      </c>
      <c r="G90" s="47">
        <v>102.08333333333333</v>
      </c>
    </row>
    <row r="91" spans="1:7" ht="15.75" customHeight="1">
      <c r="A91" s="104" t="s">
        <v>119</v>
      </c>
      <c r="B91" s="104" t="s">
        <v>120</v>
      </c>
      <c r="C91" s="104" t="s">
        <v>65</v>
      </c>
      <c r="D91" s="104" t="s">
        <v>121</v>
      </c>
      <c r="E91" s="104" t="s">
        <v>122</v>
      </c>
      <c r="F91" s="45" t="s">
        <v>123</v>
      </c>
      <c r="G91" s="46">
        <v>100</v>
      </c>
    </row>
    <row r="92" spans="1:7" ht="15.75">
      <c r="A92" s="105"/>
      <c r="B92" s="105"/>
      <c r="C92" s="105"/>
      <c r="D92" s="105"/>
      <c r="E92" s="105"/>
      <c r="F92" s="45" t="s">
        <v>124</v>
      </c>
      <c r="G92" s="46">
        <v>100</v>
      </c>
    </row>
    <row r="93" spans="1:7" ht="30.75" customHeight="1">
      <c r="A93" s="100" t="s">
        <v>1914</v>
      </c>
      <c r="B93" s="100" t="s">
        <v>1915</v>
      </c>
      <c r="C93" s="100" t="s">
        <v>1916</v>
      </c>
      <c r="D93" s="102" t="s">
        <v>5</v>
      </c>
      <c r="E93" s="102" t="s">
        <v>298</v>
      </c>
      <c r="F93" s="45" t="s">
        <v>130</v>
      </c>
      <c r="G93" s="47">
        <f>(5/5)*100</f>
        <v>100</v>
      </c>
    </row>
    <row r="94" spans="1:7" ht="30.75" customHeight="1">
      <c r="A94" s="101"/>
      <c r="B94" s="101"/>
      <c r="C94" s="101"/>
      <c r="D94" s="103"/>
      <c r="E94" s="103"/>
      <c r="F94" s="45" t="s">
        <v>131</v>
      </c>
      <c r="G94" s="47">
        <v>100</v>
      </c>
    </row>
    <row r="95" spans="1:7" ht="15.75">
      <c r="A95" s="96" t="s">
        <v>192</v>
      </c>
      <c r="B95" s="96"/>
      <c r="C95" s="96"/>
      <c r="D95" s="96"/>
      <c r="E95" s="96"/>
      <c r="F95" s="96"/>
      <c r="G95" s="96"/>
    </row>
    <row r="96" spans="1:7" ht="15.75">
      <c r="A96" s="99" t="str">
        <f>+A31</f>
        <v>Índice de Gestión para Resultados con enfoque de derechos humanos y perspectiva de género (IGpR)</v>
      </c>
      <c r="B96" s="99"/>
      <c r="C96" s="99"/>
      <c r="D96" s="99"/>
      <c r="E96" s="99"/>
      <c r="F96" s="99"/>
      <c r="G96" s="99"/>
    </row>
    <row r="97" spans="1:7" ht="90.75" customHeight="1">
      <c r="A97" s="48" t="s">
        <v>193</v>
      </c>
      <c r="B97" s="241" t="s">
        <v>258</v>
      </c>
      <c r="C97" s="241"/>
      <c r="D97" s="241"/>
      <c r="E97" s="241"/>
      <c r="F97" s="241"/>
      <c r="G97" s="241"/>
    </row>
    <row r="98" spans="1:7" ht="31.5" customHeight="1">
      <c r="A98" s="49" t="s">
        <v>6</v>
      </c>
      <c r="B98" s="241" t="s">
        <v>461</v>
      </c>
      <c r="C98" s="241"/>
      <c r="D98" s="241"/>
      <c r="E98" s="241"/>
      <c r="F98" s="241"/>
      <c r="G98" s="241"/>
    </row>
    <row r="99" spans="1:7" ht="15.75">
      <c r="A99" s="49" t="s">
        <v>195</v>
      </c>
      <c r="B99" s="241"/>
      <c r="C99" s="241"/>
      <c r="D99" s="241"/>
      <c r="E99" s="241"/>
      <c r="F99" s="241"/>
      <c r="G99" s="241"/>
    </row>
    <row r="100" spans="1:7" ht="15.75">
      <c r="A100" s="90" t="str">
        <f>+A37</f>
        <v>Porcentaje de cumplimiento de los indicadores estratégicos</v>
      </c>
      <c r="B100" s="90"/>
      <c r="C100" s="90"/>
      <c r="D100" s="90"/>
      <c r="E100" s="90"/>
      <c r="F100" s="90"/>
      <c r="G100" s="90"/>
    </row>
    <row r="101" spans="1:7" ht="15.75">
      <c r="A101" s="49" t="s">
        <v>193</v>
      </c>
      <c r="B101" s="241" t="s">
        <v>1917</v>
      </c>
      <c r="C101" s="241"/>
      <c r="D101" s="241"/>
      <c r="E101" s="241"/>
      <c r="F101" s="241"/>
      <c r="G101" s="241"/>
    </row>
    <row r="102" spans="1:7" ht="42.75" customHeight="1">
      <c r="A102" s="49" t="s">
        <v>6</v>
      </c>
      <c r="B102" s="241" t="s">
        <v>1918</v>
      </c>
      <c r="C102" s="241"/>
      <c r="D102" s="241"/>
      <c r="E102" s="241"/>
      <c r="F102" s="241"/>
      <c r="G102" s="241"/>
    </row>
    <row r="103" spans="1:7" ht="15.75">
      <c r="A103" s="49" t="s">
        <v>195</v>
      </c>
      <c r="B103" s="241"/>
      <c r="C103" s="241"/>
      <c r="D103" s="241"/>
      <c r="E103" s="241"/>
      <c r="F103" s="241"/>
      <c r="G103" s="241"/>
    </row>
    <row r="104" spans="1:7" ht="15.75">
      <c r="A104" s="90" t="str">
        <f>+A43</f>
        <v>Valoración del Desempeño de la Unidades Administrativas del Instituto Nacional de Transparencia, Acceso a la Información y Protección de Datos Personales</v>
      </c>
      <c r="B104" s="90"/>
      <c r="C104" s="90"/>
      <c r="D104" s="90"/>
      <c r="E104" s="90"/>
      <c r="F104" s="90"/>
      <c r="G104" s="90"/>
    </row>
    <row r="105" spans="1:7" ht="108" customHeight="1">
      <c r="A105" s="49" t="s">
        <v>193</v>
      </c>
      <c r="B105" s="242" t="s">
        <v>1919</v>
      </c>
      <c r="C105" s="242"/>
      <c r="D105" s="242"/>
      <c r="E105" s="242"/>
      <c r="F105" s="242"/>
      <c r="G105" s="242"/>
    </row>
    <row r="106" spans="1:7" ht="54.75" customHeight="1">
      <c r="A106" s="49" t="s">
        <v>6</v>
      </c>
      <c r="B106" s="242" t="s">
        <v>1920</v>
      </c>
      <c r="C106" s="242"/>
      <c r="D106" s="242"/>
      <c r="E106" s="242"/>
      <c r="F106" s="242"/>
      <c r="G106" s="242"/>
    </row>
    <row r="107" spans="1:7" ht="15.75">
      <c r="A107" s="49" t="s">
        <v>195</v>
      </c>
      <c r="B107" s="241"/>
      <c r="C107" s="241"/>
      <c r="D107" s="241"/>
      <c r="E107" s="241"/>
      <c r="F107" s="241"/>
      <c r="G107" s="241"/>
    </row>
    <row r="108" spans="1:7" ht="15.75">
      <c r="A108" s="90" t="str">
        <f>+A47</f>
        <v>Porcentaje de acciones implementadas para la incorporación de la perspectiva de derechos humanos, género, igualdad y no discriminación de forma trasversal en el Instituto.</v>
      </c>
      <c r="B108" s="90"/>
      <c r="C108" s="90"/>
      <c r="D108" s="90"/>
      <c r="E108" s="90"/>
      <c r="F108" s="90"/>
      <c r="G108" s="90"/>
    </row>
    <row r="109" spans="1:7" ht="60" customHeight="1">
      <c r="A109" s="49" t="s">
        <v>193</v>
      </c>
      <c r="B109" s="242" t="s">
        <v>1921</v>
      </c>
      <c r="C109" s="242"/>
      <c r="D109" s="242"/>
      <c r="E109" s="242"/>
      <c r="F109" s="242"/>
      <c r="G109" s="242"/>
    </row>
    <row r="110" spans="1:7" ht="15.75">
      <c r="A110" s="49" t="s">
        <v>6</v>
      </c>
      <c r="B110" s="242" t="s">
        <v>1922</v>
      </c>
      <c r="C110" s="242"/>
      <c r="D110" s="242"/>
      <c r="E110" s="242"/>
      <c r="F110" s="242"/>
      <c r="G110" s="242"/>
    </row>
    <row r="111" spans="1:7" ht="15.75">
      <c r="A111" s="49" t="s">
        <v>195</v>
      </c>
      <c r="B111" s="241"/>
      <c r="C111" s="241"/>
      <c r="D111" s="241"/>
      <c r="E111" s="241"/>
      <c r="F111" s="241"/>
      <c r="G111" s="241"/>
    </row>
    <row r="112" spans="1:7" ht="15.75">
      <c r="A112" s="90" t="str">
        <f>+A53</f>
        <v>Porcentaje de Matriz de Indicadores para Resultados valoradas en rango de calidad aceptable</v>
      </c>
      <c r="B112" s="90"/>
      <c r="C112" s="90"/>
      <c r="D112" s="90"/>
      <c r="E112" s="90"/>
      <c r="F112" s="90"/>
      <c r="G112" s="90"/>
    </row>
    <row r="113" spans="1:7" ht="31.5" customHeight="1">
      <c r="A113" s="49" t="s">
        <v>193</v>
      </c>
      <c r="B113" s="242" t="s">
        <v>1923</v>
      </c>
      <c r="C113" s="242"/>
      <c r="D113" s="242"/>
      <c r="E113" s="242"/>
      <c r="F113" s="242"/>
      <c r="G113" s="242"/>
    </row>
    <row r="114" spans="1:7" ht="31.5" customHeight="1">
      <c r="A114" s="49" t="s">
        <v>6</v>
      </c>
      <c r="B114" s="242" t="s">
        <v>1924</v>
      </c>
      <c r="C114" s="242"/>
      <c r="D114" s="242"/>
      <c r="E114" s="242"/>
      <c r="F114" s="242"/>
      <c r="G114" s="242"/>
    </row>
    <row r="115" spans="1:7" ht="15.75">
      <c r="A115" s="49" t="s">
        <v>195</v>
      </c>
      <c r="B115" s="95"/>
      <c r="C115" s="95"/>
      <c r="D115" s="95"/>
      <c r="E115" s="95"/>
      <c r="F115" s="95"/>
      <c r="G115" s="95"/>
    </row>
    <row r="116" spans="1:7" ht="15.75">
      <c r="A116" s="90" t="str">
        <f>+A57</f>
        <v>Porcentaje de avance de las actividades de gestión del Programa Anual de Evaluación del Desempeño del INAI</v>
      </c>
      <c r="B116" s="90"/>
      <c r="C116" s="90"/>
      <c r="D116" s="90"/>
      <c r="E116" s="90"/>
      <c r="F116" s="90"/>
      <c r="G116" s="90"/>
    </row>
    <row r="117" spans="1:7" ht="15.75">
      <c r="A117" s="49" t="s">
        <v>193</v>
      </c>
      <c r="B117" s="242" t="s">
        <v>1925</v>
      </c>
      <c r="C117" s="242"/>
      <c r="D117" s="242"/>
      <c r="E117" s="242"/>
      <c r="F117" s="242"/>
      <c r="G117" s="242"/>
    </row>
    <row r="118" spans="1:7" ht="31.5" customHeight="1">
      <c r="A118" s="49" t="s">
        <v>6</v>
      </c>
      <c r="B118" s="242" t="s">
        <v>1926</v>
      </c>
      <c r="C118" s="242"/>
      <c r="D118" s="242"/>
      <c r="E118" s="242"/>
      <c r="F118" s="242"/>
      <c r="G118" s="242"/>
    </row>
    <row r="119" spans="1:7" ht="15.75">
      <c r="A119" s="49" t="s">
        <v>195</v>
      </c>
      <c r="B119" s="241"/>
      <c r="C119" s="241"/>
      <c r="D119" s="241"/>
      <c r="E119" s="241"/>
      <c r="F119" s="241"/>
      <c r="G119" s="241"/>
    </row>
    <row r="120" spans="1:7" ht="15.75">
      <c r="A120" s="90" t="str">
        <f>+A61</f>
        <v>Porcentaje de recomendaciones integradas en acuerdos de mejora de desempeño institucional</v>
      </c>
      <c r="B120" s="90"/>
      <c r="C120" s="90"/>
      <c r="D120" s="90"/>
      <c r="E120" s="90"/>
      <c r="F120" s="90"/>
      <c r="G120" s="90"/>
    </row>
    <row r="121" spans="1:7" ht="31.5" customHeight="1">
      <c r="A121" s="49" t="s">
        <v>193</v>
      </c>
      <c r="B121" s="242" t="s">
        <v>1927</v>
      </c>
      <c r="C121" s="242"/>
      <c r="D121" s="242"/>
      <c r="E121" s="242"/>
      <c r="F121" s="242"/>
      <c r="G121" s="242"/>
    </row>
    <row r="122" spans="1:7" ht="15.75">
      <c r="A122" s="49" t="s">
        <v>6</v>
      </c>
      <c r="B122" s="242" t="s">
        <v>1928</v>
      </c>
      <c r="C122" s="242"/>
      <c r="D122" s="242"/>
      <c r="E122" s="242"/>
      <c r="F122" s="242"/>
      <c r="G122" s="242"/>
    </row>
    <row r="123" spans="1:7" ht="15.75">
      <c r="A123" s="49" t="s">
        <v>195</v>
      </c>
      <c r="B123" s="95"/>
      <c r="C123" s="95"/>
      <c r="D123" s="95"/>
      <c r="E123" s="95"/>
      <c r="F123" s="95"/>
      <c r="G123" s="95"/>
    </row>
    <row r="124" spans="1:7" ht="15.75">
      <c r="A124" s="90" t="str">
        <f>+A65</f>
        <v>Porcentaje de atención de las asesorías solicitadas</v>
      </c>
      <c r="B124" s="90"/>
      <c r="C124" s="90"/>
      <c r="D124" s="90"/>
      <c r="E124" s="90"/>
      <c r="F124" s="90"/>
      <c r="G124" s="90"/>
    </row>
    <row r="125" spans="1:7" ht="103.5" customHeight="1">
      <c r="A125" s="49" t="s">
        <v>193</v>
      </c>
      <c r="B125" s="95" t="s">
        <v>1929</v>
      </c>
      <c r="C125" s="95"/>
      <c r="D125" s="95"/>
      <c r="E125" s="95"/>
      <c r="F125" s="95"/>
      <c r="G125" s="95"/>
    </row>
    <row r="126" spans="1:7" ht="31.5" customHeight="1">
      <c r="A126" s="49" t="s">
        <v>6</v>
      </c>
      <c r="B126" s="95" t="s">
        <v>1930</v>
      </c>
      <c r="C126" s="95"/>
      <c r="D126" s="95"/>
      <c r="E126" s="95"/>
      <c r="F126" s="95"/>
      <c r="G126" s="95"/>
    </row>
    <row r="127" spans="1:7" ht="15.75">
      <c r="A127" s="49" t="s">
        <v>195</v>
      </c>
      <c r="B127" s="95"/>
      <c r="C127" s="95"/>
      <c r="D127" s="95"/>
      <c r="E127" s="95"/>
      <c r="F127" s="95"/>
      <c r="G127" s="95"/>
    </row>
    <row r="128" spans="1:7" ht="15.75">
      <c r="A128" s="90" t="str">
        <f>+A69</f>
        <v>Promedio de tiempo de elaboración de reportes trimestrales</v>
      </c>
      <c r="B128" s="90"/>
      <c r="C128" s="90"/>
      <c r="D128" s="90"/>
      <c r="E128" s="90"/>
      <c r="F128" s="90"/>
      <c r="G128" s="90"/>
    </row>
    <row r="129" spans="1:7" ht="59.25" customHeight="1">
      <c r="A129" s="49" t="s">
        <v>193</v>
      </c>
      <c r="B129" s="95" t="s">
        <v>1931</v>
      </c>
      <c r="C129" s="95"/>
      <c r="D129" s="95"/>
      <c r="E129" s="95"/>
      <c r="F129" s="95"/>
      <c r="G129" s="95"/>
    </row>
    <row r="130" spans="1:7" ht="31.5" customHeight="1">
      <c r="A130" s="49" t="s">
        <v>6</v>
      </c>
      <c r="B130" s="95" t="s">
        <v>1932</v>
      </c>
      <c r="C130" s="95"/>
      <c r="D130" s="95"/>
      <c r="E130" s="95"/>
      <c r="F130" s="95"/>
      <c r="G130" s="95"/>
    </row>
    <row r="131" spans="1:7" ht="15.75">
      <c r="A131" s="49" t="s">
        <v>195</v>
      </c>
      <c r="B131" s="95"/>
      <c r="C131" s="95"/>
      <c r="D131" s="95"/>
      <c r="E131" s="95"/>
      <c r="F131" s="95"/>
      <c r="G131" s="95"/>
    </row>
    <row r="132" spans="1:7" ht="15.75">
      <c r="A132" s="90" t="str">
        <f>+A73</f>
        <v>Porcentaje de indicadores modificados </v>
      </c>
      <c r="B132" s="90"/>
      <c r="C132" s="90"/>
      <c r="D132" s="90"/>
      <c r="E132" s="90"/>
      <c r="F132" s="90"/>
      <c r="G132" s="90"/>
    </row>
    <row r="133" spans="1:7" ht="31.5" customHeight="1">
      <c r="A133" s="49" t="s">
        <v>193</v>
      </c>
      <c r="B133" s="95" t="s">
        <v>1933</v>
      </c>
      <c r="C133" s="95"/>
      <c r="D133" s="95"/>
      <c r="E133" s="95"/>
      <c r="F133" s="95"/>
      <c r="G133" s="95"/>
    </row>
    <row r="134" spans="1:7" ht="31.5" customHeight="1">
      <c r="A134" s="49" t="s">
        <v>6</v>
      </c>
      <c r="B134" s="95" t="s">
        <v>1934</v>
      </c>
      <c r="C134" s="95"/>
      <c r="D134" s="95"/>
      <c r="E134" s="95"/>
      <c r="F134" s="95"/>
      <c r="G134" s="95"/>
    </row>
    <row r="135" spans="1:7" ht="15.75">
      <c r="A135" s="49" t="s">
        <v>195</v>
      </c>
      <c r="B135" s="241"/>
      <c r="C135" s="241"/>
      <c r="D135" s="241"/>
      <c r="E135" s="241"/>
      <c r="F135" s="241"/>
      <c r="G135" s="241"/>
    </row>
    <row r="136" spans="1:7" ht="15.75">
      <c r="A136" s="90" t="str">
        <f>+A77</f>
        <v>Porcentaje de atención de las recomendaciones de mejora</v>
      </c>
      <c r="B136" s="90"/>
      <c r="C136" s="90"/>
      <c r="D136" s="90"/>
      <c r="E136" s="90"/>
      <c r="F136" s="90"/>
      <c r="G136" s="90"/>
    </row>
    <row r="137" spans="1:7" ht="31.5" customHeight="1">
      <c r="A137" s="49" t="s">
        <v>193</v>
      </c>
      <c r="B137" s="242" t="s">
        <v>1935</v>
      </c>
      <c r="C137" s="242"/>
      <c r="D137" s="242"/>
      <c r="E137" s="242"/>
      <c r="F137" s="242"/>
      <c r="G137" s="242"/>
    </row>
    <row r="138" spans="1:7" ht="31.5" customHeight="1">
      <c r="A138" s="49" t="s">
        <v>6</v>
      </c>
      <c r="B138" s="242" t="s">
        <v>1936</v>
      </c>
      <c r="C138" s="242"/>
      <c r="D138" s="242"/>
      <c r="E138" s="242"/>
      <c r="F138" s="242"/>
      <c r="G138" s="242"/>
    </row>
    <row r="139" spans="1:7" ht="15.75">
      <c r="A139" s="49" t="s">
        <v>195</v>
      </c>
      <c r="B139" s="241"/>
      <c r="C139" s="241"/>
      <c r="D139" s="241"/>
      <c r="E139" s="241"/>
      <c r="F139" s="241"/>
      <c r="G139" s="241"/>
    </row>
    <row r="140" spans="1:7" ht="15.75">
      <c r="A140" s="90" t="str">
        <f>+A81</f>
        <v>Porcentaje de personal sensibilizado </v>
      </c>
      <c r="B140" s="90"/>
      <c r="C140" s="90"/>
      <c r="D140" s="90"/>
      <c r="E140" s="90"/>
      <c r="F140" s="90"/>
      <c r="G140" s="90"/>
    </row>
    <row r="141" spans="1:7" ht="66" customHeight="1">
      <c r="A141" s="49" t="s">
        <v>193</v>
      </c>
      <c r="B141" s="242" t="s">
        <v>1937</v>
      </c>
      <c r="C141" s="242"/>
      <c r="D141" s="242"/>
      <c r="E141" s="242"/>
      <c r="F141" s="242"/>
      <c r="G141" s="242"/>
    </row>
    <row r="142" spans="1:7" ht="31.5" customHeight="1">
      <c r="A142" s="49" t="s">
        <v>6</v>
      </c>
      <c r="B142" s="242" t="s">
        <v>1938</v>
      </c>
      <c r="C142" s="242"/>
      <c r="D142" s="242"/>
      <c r="E142" s="242"/>
      <c r="F142" s="242"/>
      <c r="G142" s="242"/>
    </row>
    <row r="143" spans="1:7" ht="15.75">
      <c r="A143" s="49" t="s">
        <v>195</v>
      </c>
      <c r="B143" s="241"/>
      <c r="C143" s="241"/>
      <c r="D143" s="241"/>
      <c r="E143" s="241"/>
      <c r="F143" s="241"/>
      <c r="G143" s="241"/>
    </row>
    <row r="144" spans="1:7" ht="15.75">
      <c r="A144" s="90" t="str">
        <f>+A85</f>
        <v>Porcentaje de personal con calificación satisfactoria</v>
      </c>
      <c r="B144" s="90"/>
      <c r="C144" s="90"/>
      <c r="D144" s="90"/>
      <c r="E144" s="90"/>
      <c r="F144" s="90"/>
      <c r="G144" s="90"/>
    </row>
    <row r="145" spans="1:7" ht="65.25" customHeight="1">
      <c r="A145" s="49" t="s">
        <v>193</v>
      </c>
      <c r="B145" s="242" t="s">
        <v>1939</v>
      </c>
      <c r="C145" s="242"/>
      <c r="D145" s="242"/>
      <c r="E145" s="242"/>
      <c r="F145" s="242"/>
      <c r="G145" s="242"/>
    </row>
    <row r="146" spans="1:7" ht="31.5" customHeight="1">
      <c r="A146" s="49" t="s">
        <v>6</v>
      </c>
      <c r="B146" s="242" t="s">
        <v>1940</v>
      </c>
      <c r="C146" s="242"/>
      <c r="D146" s="242"/>
      <c r="E146" s="242"/>
      <c r="F146" s="242"/>
      <c r="G146" s="242"/>
    </row>
    <row r="147" spans="1:7" ht="15.75">
      <c r="A147" s="49" t="s">
        <v>195</v>
      </c>
      <c r="B147" s="241"/>
      <c r="C147" s="241"/>
      <c r="D147" s="241"/>
      <c r="E147" s="241"/>
      <c r="F147" s="241"/>
      <c r="G147" s="241"/>
    </row>
    <row r="148" spans="1:7" ht="15.75">
      <c r="A148" s="90" t="str">
        <f>+A89</f>
        <v>Porcentaje de avance en la generación de materiales para difundir conocimiento</v>
      </c>
      <c r="B148" s="90"/>
      <c r="C148" s="90"/>
      <c r="D148" s="90"/>
      <c r="E148" s="90"/>
      <c r="F148" s="90"/>
      <c r="G148" s="90"/>
    </row>
    <row r="149" spans="1:7" ht="51.75" customHeight="1">
      <c r="A149" s="49" t="s">
        <v>193</v>
      </c>
      <c r="B149" s="242" t="s">
        <v>1941</v>
      </c>
      <c r="C149" s="242"/>
      <c r="D149" s="242"/>
      <c r="E149" s="242"/>
      <c r="F149" s="242"/>
      <c r="G149" s="242"/>
    </row>
    <row r="150" spans="1:7" ht="15.75">
      <c r="A150" s="49" t="s">
        <v>6</v>
      </c>
      <c r="B150" s="242" t="s">
        <v>1942</v>
      </c>
      <c r="C150" s="242"/>
      <c r="D150" s="242"/>
      <c r="E150" s="242"/>
      <c r="F150" s="242"/>
      <c r="G150" s="242"/>
    </row>
    <row r="151" spans="1:7" ht="15.75">
      <c r="A151" s="49" t="s">
        <v>195</v>
      </c>
      <c r="B151" s="241"/>
      <c r="C151" s="241"/>
      <c r="D151" s="241"/>
      <c r="E151" s="241"/>
      <c r="F151" s="241"/>
      <c r="G151" s="241"/>
    </row>
    <row r="152" spans="1:7" ht="15.75">
      <c r="A152" s="90" t="str">
        <f>+A93</f>
        <v>Porcentaje de avance en el asesoramiento a las Unidades Administrativas u organismos garantes para incorporar el enfoque de derechos humanos, género, igualdad y no discriminación</v>
      </c>
      <c r="B152" s="90"/>
      <c r="C152" s="90"/>
      <c r="D152" s="90"/>
      <c r="E152" s="90"/>
      <c r="F152" s="90"/>
      <c r="G152" s="90"/>
    </row>
    <row r="153" spans="1:7" ht="87.75" customHeight="1">
      <c r="A153" s="49" t="s">
        <v>193</v>
      </c>
      <c r="B153" s="242" t="s">
        <v>1943</v>
      </c>
      <c r="C153" s="242"/>
      <c r="D153" s="242"/>
      <c r="E153" s="242"/>
      <c r="F153" s="242"/>
      <c r="G153" s="242"/>
    </row>
    <row r="154" spans="1:7" ht="15.75">
      <c r="A154" s="49" t="s">
        <v>6</v>
      </c>
      <c r="B154" s="242" t="s">
        <v>1944</v>
      </c>
      <c r="C154" s="242"/>
      <c r="D154" s="242"/>
      <c r="E154" s="242"/>
      <c r="F154" s="242"/>
      <c r="G154" s="242"/>
    </row>
    <row r="155" spans="1:7" ht="15.75">
      <c r="A155" s="49" t="s">
        <v>195</v>
      </c>
      <c r="B155" s="241"/>
      <c r="C155" s="241"/>
      <c r="D155" s="241"/>
      <c r="E155" s="241"/>
      <c r="F155" s="241"/>
      <c r="G155" s="241"/>
    </row>
    <row r="156" spans="1:7" ht="15.75">
      <c r="A156" s="146"/>
      <c r="B156" s="146"/>
      <c r="C156" s="146"/>
      <c r="D156" s="146"/>
      <c r="E156" s="146"/>
      <c r="F156" s="146"/>
      <c r="G156" s="146"/>
    </row>
    <row r="157" spans="1:7" ht="15.75">
      <c r="A157" s="96" t="s">
        <v>226</v>
      </c>
      <c r="B157" s="96"/>
      <c r="C157" s="96"/>
      <c r="D157" s="96"/>
      <c r="E157" s="96"/>
      <c r="F157" s="96"/>
      <c r="G157" s="96"/>
    </row>
    <row r="158" spans="1:7" ht="15.75">
      <c r="A158" s="90" t="s">
        <v>125</v>
      </c>
      <c r="B158" s="90"/>
      <c r="C158" s="90"/>
      <c r="D158" s="90"/>
      <c r="E158" s="90"/>
      <c r="F158" s="90"/>
      <c r="G158" s="90"/>
    </row>
    <row r="159" spans="1:7" ht="15.75">
      <c r="A159" s="49" t="s">
        <v>227</v>
      </c>
      <c r="B159" s="91" t="s">
        <v>1945</v>
      </c>
      <c r="C159" s="91"/>
      <c r="D159" s="91"/>
      <c r="E159" s="91"/>
      <c r="F159" s="91"/>
      <c r="G159" s="91"/>
    </row>
    <row r="160" spans="1:7" ht="15.75">
      <c r="A160" s="90" t="s">
        <v>1890</v>
      </c>
      <c r="B160" s="90"/>
      <c r="C160" s="90"/>
      <c r="D160" s="90"/>
      <c r="E160" s="90"/>
      <c r="F160" s="90"/>
      <c r="G160" s="90"/>
    </row>
    <row r="161" spans="1:7" ht="61.5" customHeight="1">
      <c r="A161" s="49" t="s">
        <v>227</v>
      </c>
      <c r="B161" s="91" t="s">
        <v>1946</v>
      </c>
      <c r="C161" s="91"/>
      <c r="D161" s="91"/>
      <c r="E161" s="91"/>
      <c r="F161" s="91"/>
      <c r="G161" s="91"/>
    </row>
    <row r="162" spans="1:7" ht="15.75">
      <c r="A162" s="90"/>
      <c r="B162" s="90"/>
      <c r="C162" s="90"/>
      <c r="D162" s="90"/>
      <c r="E162" s="90"/>
      <c r="F162" s="90"/>
      <c r="G162" s="90"/>
    </row>
    <row r="163" spans="1:7" ht="31.5" customHeight="1">
      <c r="A163" s="196" t="s">
        <v>229</v>
      </c>
      <c r="B163" s="197"/>
      <c r="C163" s="197"/>
      <c r="D163" s="197"/>
      <c r="E163" s="197"/>
      <c r="F163" s="197"/>
      <c r="G163" s="197"/>
    </row>
  </sheetData>
  <sheetProtection/>
  <mergeCells count="264">
    <mergeCell ref="A162:G162"/>
    <mergeCell ref="A163:G163"/>
    <mergeCell ref="A156:G156"/>
    <mergeCell ref="A157:G157"/>
    <mergeCell ref="A158:G158"/>
    <mergeCell ref="B159:G159"/>
    <mergeCell ref="A160:G160"/>
    <mergeCell ref="B161:G161"/>
    <mergeCell ref="B150:G150"/>
    <mergeCell ref="B151:G151"/>
    <mergeCell ref="A152:G152"/>
    <mergeCell ref="B153:G153"/>
    <mergeCell ref="B154:G154"/>
    <mergeCell ref="B155:G155"/>
    <mergeCell ref="A144:G144"/>
    <mergeCell ref="B145:G145"/>
    <mergeCell ref="B146:G146"/>
    <mergeCell ref="B147:G147"/>
    <mergeCell ref="A148:G148"/>
    <mergeCell ref="B149:G149"/>
    <mergeCell ref="B138:G138"/>
    <mergeCell ref="B139:G139"/>
    <mergeCell ref="A140:G140"/>
    <mergeCell ref="B141:G141"/>
    <mergeCell ref="B142:G142"/>
    <mergeCell ref="B143:G143"/>
    <mergeCell ref="A132:G132"/>
    <mergeCell ref="B133:G133"/>
    <mergeCell ref="B134:G134"/>
    <mergeCell ref="B135:G135"/>
    <mergeCell ref="A136:G136"/>
    <mergeCell ref="B137:G137"/>
    <mergeCell ref="B126:G126"/>
    <mergeCell ref="B127:G127"/>
    <mergeCell ref="A128:G128"/>
    <mergeCell ref="B129:G129"/>
    <mergeCell ref="B130:G130"/>
    <mergeCell ref="B131:G131"/>
    <mergeCell ref="A120:G120"/>
    <mergeCell ref="B121:G121"/>
    <mergeCell ref="B122:G122"/>
    <mergeCell ref="B123:G123"/>
    <mergeCell ref="A124:G124"/>
    <mergeCell ref="B125:G125"/>
    <mergeCell ref="B114:G114"/>
    <mergeCell ref="B115:G115"/>
    <mergeCell ref="A116:G116"/>
    <mergeCell ref="B117:G117"/>
    <mergeCell ref="B118:G118"/>
    <mergeCell ref="B119:G119"/>
    <mergeCell ref="A108:G108"/>
    <mergeCell ref="B109:G109"/>
    <mergeCell ref="B110:G110"/>
    <mergeCell ref="B111:G111"/>
    <mergeCell ref="A112:G112"/>
    <mergeCell ref="B113:G113"/>
    <mergeCell ref="B102:G102"/>
    <mergeCell ref="B103:G103"/>
    <mergeCell ref="A104:G104"/>
    <mergeCell ref="B105:G105"/>
    <mergeCell ref="B106:G106"/>
    <mergeCell ref="B107:G107"/>
    <mergeCell ref="A96:G96"/>
    <mergeCell ref="B97:G97"/>
    <mergeCell ref="B98:G98"/>
    <mergeCell ref="B99:G99"/>
    <mergeCell ref="A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4" manualBreakCount="4">
    <brk id="48" max="255" man="1"/>
    <brk id="90" max="255" man="1"/>
    <brk id="123" max="255" man="1"/>
    <brk id="153" max="255" man="1"/>
  </rowBreaks>
</worksheet>
</file>

<file path=xl/worksheets/sheet3.xml><?xml version="1.0" encoding="utf-8"?>
<worksheet xmlns="http://schemas.openxmlformats.org/spreadsheetml/2006/main" xmlns:r="http://schemas.openxmlformats.org/officeDocument/2006/relationships">
  <dimension ref="A1:G225"/>
  <sheetViews>
    <sheetView showGridLines="0" tabSelected="1" view="pageBreakPreview" zoomScale="70" zoomScaleSheetLayoutView="70" zoomScalePageLayoutView="0" workbookViewId="0" topLeftCell="A205">
      <selection activeCell="A29" sqref="A29:A30"/>
    </sheetView>
  </sheetViews>
  <sheetFormatPr defaultColWidth="11.421875" defaultRowHeight="15"/>
  <cols>
    <col min="1" max="3" width="45.7109375" style="65" customWidth="1"/>
    <col min="4" max="4" width="17.140625" style="65" customWidth="1"/>
    <col min="5" max="5" width="26.140625" style="65" customWidth="1"/>
    <col min="6" max="6" width="41.8515625" style="65" customWidth="1"/>
    <col min="7" max="7" width="13.28125" style="65" customWidth="1"/>
    <col min="8" max="16384" width="11.421875" style="65"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
      <c r="A4" s="107" t="s">
        <v>83</v>
      </c>
      <c r="B4" s="108"/>
      <c r="C4" s="108"/>
      <c r="D4" s="108"/>
      <c r="E4" s="108"/>
      <c r="F4" s="108"/>
      <c r="G4" s="109"/>
    </row>
    <row r="5" spans="1:7" ht="31.5" customHeight="1">
      <c r="A5" s="137" t="s">
        <v>84</v>
      </c>
      <c r="B5" s="138"/>
      <c r="C5" s="139"/>
      <c r="D5" s="140" t="s">
        <v>968</v>
      </c>
      <c r="E5" s="141"/>
      <c r="F5" s="141"/>
      <c r="G5" s="142"/>
    </row>
    <row r="6" spans="1:7" ht="15">
      <c r="A6" s="137" t="s">
        <v>86</v>
      </c>
      <c r="B6" s="138"/>
      <c r="C6" s="139"/>
      <c r="D6" s="140" t="s">
        <v>87</v>
      </c>
      <c r="E6" s="141"/>
      <c r="F6" s="141"/>
      <c r="G6" s="142"/>
    </row>
    <row r="7" spans="1:7" ht="15">
      <c r="A7" s="137" t="s">
        <v>88</v>
      </c>
      <c r="B7" s="138"/>
      <c r="C7" s="139"/>
      <c r="D7" s="140" t="s">
        <v>89</v>
      </c>
      <c r="E7" s="141"/>
      <c r="F7" s="141"/>
      <c r="G7" s="142"/>
    </row>
    <row r="8" spans="1:7" ht="15">
      <c r="A8" s="137" t="s">
        <v>90</v>
      </c>
      <c r="B8" s="138"/>
      <c r="C8" s="139"/>
      <c r="D8" s="140" t="s">
        <v>1277</v>
      </c>
      <c r="E8" s="141"/>
      <c r="F8" s="141"/>
      <c r="G8" s="142"/>
    </row>
    <row r="9" spans="1:7" ht="15">
      <c r="A9" s="137" t="s">
        <v>92</v>
      </c>
      <c r="B9" s="138"/>
      <c r="C9" s="139"/>
      <c r="D9" s="140" t="s">
        <v>93</v>
      </c>
      <c r="E9" s="141"/>
      <c r="F9" s="141"/>
      <c r="G9" s="142"/>
    </row>
    <row r="10" spans="1:7" ht="15">
      <c r="A10" s="115" t="s">
        <v>94</v>
      </c>
      <c r="B10" s="115"/>
      <c r="C10" s="115"/>
      <c r="D10" s="115"/>
      <c r="E10" s="115"/>
      <c r="F10" s="115"/>
      <c r="G10" s="115"/>
    </row>
    <row r="11" spans="1:7" ht="16.5">
      <c r="A11" s="126" t="s">
        <v>95</v>
      </c>
      <c r="B11" s="127"/>
      <c r="C11" s="127"/>
      <c r="D11" s="127"/>
      <c r="E11" s="127"/>
      <c r="F11" s="127"/>
      <c r="G11" s="128"/>
    </row>
    <row r="12" spans="1:7" ht="16.5">
      <c r="A12" s="129" t="s">
        <v>96</v>
      </c>
      <c r="B12" s="130"/>
      <c r="C12" s="130"/>
      <c r="D12" s="130"/>
      <c r="E12" s="130"/>
      <c r="F12" s="130"/>
      <c r="G12" s="131"/>
    </row>
    <row r="13" spans="1:7" ht="16.5">
      <c r="A13" s="132" t="s">
        <v>970</v>
      </c>
      <c r="B13" s="133"/>
      <c r="C13" s="133"/>
      <c r="D13" s="133"/>
      <c r="E13" s="133"/>
      <c r="F13" s="133"/>
      <c r="G13" s="134"/>
    </row>
    <row r="14" spans="1:7" ht="16.5">
      <c r="A14" s="66"/>
      <c r="B14" s="130" t="s">
        <v>98</v>
      </c>
      <c r="C14" s="130"/>
      <c r="D14" s="130"/>
      <c r="E14" s="130"/>
      <c r="F14" s="130"/>
      <c r="G14" s="131"/>
    </row>
    <row r="15" spans="1:7" ht="16.5">
      <c r="A15" s="67"/>
      <c r="B15" s="135" t="s">
        <v>1278</v>
      </c>
      <c r="C15" s="135"/>
      <c r="D15" s="135"/>
      <c r="E15" s="135"/>
      <c r="F15" s="135"/>
      <c r="G15" s="136"/>
    </row>
    <row r="16" spans="1:7" ht="15">
      <c r="A16" s="115" t="s">
        <v>100</v>
      </c>
      <c r="B16" s="115"/>
      <c r="C16" s="115"/>
      <c r="D16" s="115"/>
      <c r="E16" s="115"/>
      <c r="F16" s="115"/>
      <c r="G16" s="115"/>
    </row>
    <row r="17" spans="1:7" ht="15">
      <c r="A17" s="110" t="s">
        <v>101</v>
      </c>
      <c r="B17" s="111"/>
      <c r="C17" s="112" t="s">
        <v>102</v>
      </c>
      <c r="D17" s="113"/>
      <c r="E17" s="113"/>
      <c r="F17" s="113"/>
      <c r="G17" s="114"/>
    </row>
    <row r="18" spans="1:7" ht="15">
      <c r="A18" s="110" t="s">
        <v>103</v>
      </c>
      <c r="B18" s="111"/>
      <c r="C18" s="112" t="s">
        <v>104</v>
      </c>
      <c r="D18" s="113"/>
      <c r="E18" s="113"/>
      <c r="F18" s="113"/>
      <c r="G18" s="114"/>
    </row>
    <row r="19" spans="1:7" ht="15">
      <c r="A19" s="110" t="s">
        <v>105</v>
      </c>
      <c r="B19" s="111"/>
      <c r="C19" s="112" t="s">
        <v>106</v>
      </c>
      <c r="D19" s="113"/>
      <c r="E19" s="113"/>
      <c r="F19" s="113"/>
      <c r="G19" s="114"/>
    </row>
    <row r="20" spans="1:7" ht="15">
      <c r="A20" s="110" t="s">
        <v>107</v>
      </c>
      <c r="B20" s="111"/>
      <c r="C20" s="112" t="s">
        <v>108</v>
      </c>
      <c r="D20" s="113"/>
      <c r="E20" s="113"/>
      <c r="F20" s="113"/>
      <c r="G20" s="114"/>
    </row>
    <row r="21" spans="1:7" ht="15">
      <c r="A21" s="115" t="s">
        <v>109</v>
      </c>
      <c r="B21" s="115"/>
      <c r="C21" s="116"/>
      <c r="D21" s="116"/>
      <c r="E21" s="116"/>
      <c r="F21" s="116"/>
      <c r="G21" s="116"/>
    </row>
    <row r="22" spans="1:7" ht="15" customHeight="1">
      <c r="A22" s="117"/>
      <c r="B22" s="118"/>
      <c r="C22" s="118"/>
      <c r="D22" s="119"/>
      <c r="E22" s="41" t="s">
        <v>1</v>
      </c>
      <c r="F22" s="41" t="s">
        <v>110</v>
      </c>
      <c r="G22" s="41" t="s">
        <v>111</v>
      </c>
    </row>
    <row r="23" spans="1:7" ht="15" customHeight="1">
      <c r="A23" s="120"/>
      <c r="B23" s="121"/>
      <c r="C23" s="121"/>
      <c r="D23" s="122"/>
      <c r="E23" s="42" t="s">
        <v>2</v>
      </c>
      <c r="F23" s="42" t="s">
        <v>2</v>
      </c>
      <c r="G23" s="42" t="s">
        <v>112</v>
      </c>
    </row>
    <row r="24" spans="1:7" ht="15">
      <c r="A24" s="123" t="s">
        <v>113</v>
      </c>
      <c r="B24" s="124"/>
      <c r="C24" s="124"/>
      <c r="D24" s="125"/>
      <c r="E24" s="43">
        <f>'E001'!B17</f>
        <v>398.715279</v>
      </c>
      <c r="F24" s="43">
        <f>'E001'!C17</f>
        <v>372.69733589</v>
      </c>
      <c r="G24" s="44">
        <f>F24/E24</f>
        <v>0.9347455578445489</v>
      </c>
    </row>
    <row r="25" spans="1:7" ht="15">
      <c r="A25" s="123" t="s">
        <v>114</v>
      </c>
      <c r="B25" s="124"/>
      <c r="C25" s="124"/>
      <c r="D25" s="125"/>
      <c r="E25" s="43">
        <f>'E001'!B18</f>
        <v>372.69733589000003</v>
      </c>
      <c r="F25" s="43">
        <f>'E001'!C18</f>
        <v>372.69733589</v>
      </c>
      <c r="G25" s="44">
        <f>F25/E25</f>
        <v>0.9999999999999999</v>
      </c>
    </row>
    <row r="26" spans="1:7" ht="15">
      <c r="A26" s="107" t="s">
        <v>115</v>
      </c>
      <c r="B26" s="108"/>
      <c r="C26" s="108"/>
      <c r="D26" s="108"/>
      <c r="E26" s="108"/>
      <c r="F26" s="108"/>
      <c r="G26" s="109"/>
    </row>
    <row r="27" spans="1:7" ht="15">
      <c r="A27" s="107" t="s">
        <v>352</v>
      </c>
      <c r="B27" s="108"/>
      <c r="C27" s="108"/>
      <c r="D27" s="108"/>
      <c r="E27" s="108"/>
      <c r="F27" s="108"/>
      <c r="G27" s="109"/>
    </row>
    <row r="28" spans="1:7" ht="15">
      <c r="A28" s="106" t="s">
        <v>117</v>
      </c>
      <c r="B28" s="106"/>
      <c r="C28" s="106"/>
      <c r="D28" s="106"/>
      <c r="E28" s="106"/>
      <c r="F28" s="106" t="s">
        <v>118</v>
      </c>
      <c r="G28" s="106"/>
    </row>
    <row r="29" spans="1:7" ht="15" customHeight="1">
      <c r="A29" s="104" t="s">
        <v>119</v>
      </c>
      <c r="B29" s="104" t="s">
        <v>120</v>
      </c>
      <c r="C29" s="104" t="s">
        <v>65</v>
      </c>
      <c r="D29" s="104" t="s">
        <v>121</v>
      </c>
      <c r="E29" s="104" t="s">
        <v>122</v>
      </c>
      <c r="F29" s="45" t="s">
        <v>123</v>
      </c>
      <c r="G29" s="46">
        <v>5.5</v>
      </c>
    </row>
    <row r="30" spans="1:7" ht="15">
      <c r="A30" s="105"/>
      <c r="B30" s="105"/>
      <c r="C30" s="105"/>
      <c r="D30" s="105"/>
      <c r="E30" s="105"/>
      <c r="F30" s="45" t="s">
        <v>124</v>
      </c>
      <c r="G30" s="46">
        <v>5.5</v>
      </c>
    </row>
    <row r="31" spans="1:7" ht="54" customHeight="1">
      <c r="A31" s="100" t="s">
        <v>1279</v>
      </c>
      <c r="B31" s="100" t="s">
        <v>1280</v>
      </c>
      <c r="C31" s="100" t="s">
        <v>1281</v>
      </c>
      <c r="D31" s="102" t="s">
        <v>128</v>
      </c>
      <c r="E31" s="102" t="s">
        <v>129</v>
      </c>
      <c r="F31" s="45" t="s">
        <v>130</v>
      </c>
      <c r="G31" s="47">
        <v>6.044951056571991</v>
      </c>
    </row>
    <row r="32" spans="1:7" ht="54" customHeight="1">
      <c r="A32" s="101"/>
      <c r="B32" s="101"/>
      <c r="C32" s="101"/>
      <c r="D32" s="103"/>
      <c r="E32" s="103"/>
      <c r="F32" s="45" t="s">
        <v>131</v>
      </c>
      <c r="G32" s="47">
        <v>109.90820102858166</v>
      </c>
    </row>
    <row r="33" spans="1:7" ht="15">
      <c r="A33" s="96" t="s">
        <v>288</v>
      </c>
      <c r="B33" s="96"/>
      <c r="C33" s="96"/>
      <c r="D33" s="96"/>
      <c r="E33" s="96"/>
      <c r="F33" s="96"/>
      <c r="G33" s="96"/>
    </row>
    <row r="34" spans="1:7" ht="15">
      <c r="A34" s="106" t="s">
        <v>117</v>
      </c>
      <c r="B34" s="106"/>
      <c r="C34" s="106"/>
      <c r="D34" s="106"/>
      <c r="E34" s="106"/>
      <c r="F34" s="106" t="s">
        <v>118</v>
      </c>
      <c r="G34" s="106"/>
    </row>
    <row r="35" spans="1:7" ht="15" customHeight="1">
      <c r="A35" s="104" t="s">
        <v>119</v>
      </c>
      <c r="B35" s="104" t="s">
        <v>120</v>
      </c>
      <c r="C35" s="104" t="s">
        <v>65</v>
      </c>
      <c r="D35" s="104" t="s">
        <v>121</v>
      </c>
      <c r="E35" s="104" t="s">
        <v>122</v>
      </c>
      <c r="F35" s="45" t="s">
        <v>123</v>
      </c>
      <c r="G35" s="46">
        <v>45</v>
      </c>
    </row>
    <row r="36" spans="1:7" ht="15">
      <c r="A36" s="105"/>
      <c r="B36" s="105"/>
      <c r="C36" s="105"/>
      <c r="D36" s="105"/>
      <c r="E36" s="105"/>
      <c r="F36" s="45" t="s">
        <v>124</v>
      </c>
      <c r="G36" s="46">
        <v>45</v>
      </c>
    </row>
    <row r="37" spans="1:7" ht="38.25" customHeight="1">
      <c r="A37" s="100" t="s">
        <v>1282</v>
      </c>
      <c r="B37" s="100" t="s">
        <v>1283</v>
      </c>
      <c r="C37" s="100" t="s">
        <v>1284</v>
      </c>
      <c r="D37" s="102" t="s">
        <v>128</v>
      </c>
      <c r="E37" s="102" t="s">
        <v>129</v>
      </c>
      <c r="F37" s="45" t="s">
        <v>130</v>
      </c>
      <c r="G37" s="47">
        <v>60.372468011781265</v>
      </c>
    </row>
    <row r="38" spans="1:7" ht="38.25" customHeight="1">
      <c r="A38" s="101"/>
      <c r="B38" s="101"/>
      <c r="C38" s="101"/>
      <c r="D38" s="103"/>
      <c r="E38" s="103"/>
      <c r="F38" s="45" t="s">
        <v>131</v>
      </c>
      <c r="G38" s="47">
        <v>134.1610400261806</v>
      </c>
    </row>
    <row r="39" spans="1:7" ht="15">
      <c r="A39" s="96" t="s">
        <v>293</v>
      </c>
      <c r="B39" s="96"/>
      <c r="C39" s="96"/>
      <c r="D39" s="96"/>
      <c r="E39" s="96"/>
      <c r="F39" s="96"/>
      <c r="G39" s="96"/>
    </row>
    <row r="40" spans="1:7" ht="15">
      <c r="A40" s="106" t="s">
        <v>117</v>
      </c>
      <c r="B40" s="106"/>
      <c r="C40" s="106"/>
      <c r="D40" s="106"/>
      <c r="E40" s="106"/>
      <c r="F40" s="106" t="s">
        <v>118</v>
      </c>
      <c r="G40" s="106"/>
    </row>
    <row r="41" spans="1:7" ht="15" customHeight="1">
      <c r="A41" s="104" t="s">
        <v>119</v>
      </c>
      <c r="B41" s="104" t="s">
        <v>120</v>
      </c>
      <c r="C41" s="104" t="s">
        <v>65</v>
      </c>
      <c r="D41" s="104" t="s">
        <v>121</v>
      </c>
      <c r="E41" s="104" t="s">
        <v>122</v>
      </c>
      <c r="F41" s="45" t="s">
        <v>123</v>
      </c>
      <c r="G41" s="46">
        <v>100</v>
      </c>
    </row>
    <row r="42" spans="1:7" ht="15">
      <c r="A42" s="105"/>
      <c r="B42" s="105"/>
      <c r="C42" s="105"/>
      <c r="D42" s="105"/>
      <c r="E42" s="105"/>
      <c r="F42" s="45" t="s">
        <v>124</v>
      </c>
      <c r="G42" s="46">
        <v>100</v>
      </c>
    </row>
    <row r="43" spans="1:7" ht="28.5" customHeight="1">
      <c r="A43" s="100" t="s">
        <v>1285</v>
      </c>
      <c r="B43" s="100" t="s">
        <v>1286</v>
      </c>
      <c r="C43" s="100" t="s">
        <v>1287</v>
      </c>
      <c r="D43" s="102" t="s">
        <v>5</v>
      </c>
      <c r="E43" s="102" t="s">
        <v>298</v>
      </c>
      <c r="F43" s="45" t="s">
        <v>130</v>
      </c>
      <c r="G43" s="47">
        <f>(1/1)*100</f>
        <v>100</v>
      </c>
    </row>
    <row r="44" spans="1:7" ht="28.5" customHeight="1">
      <c r="A44" s="101"/>
      <c r="B44" s="101"/>
      <c r="C44" s="101"/>
      <c r="D44" s="103"/>
      <c r="E44" s="103"/>
      <c r="F44" s="45" t="s">
        <v>131</v>
      </c>
      <c r="G44" s="47">
        <v>100</v>
      </c>
    </row>
    <row r="45" spans="1:7" ht="15" customHeight="1">
      <c r="A45" s="104" t="s">
        <v>119</v>
      </c>
      <c r="B45" s="104" t="s">
        <v>120</v>
      </c>
      <c r="C45" s="104" t="s">
        <v>65</v>
      </c>
      <c r="D45" s="104" t="s">
        <v>121</v>
      </c>
      <c r="E45" s="104" t="s">
        <v>122</v>
      </c>
      <c r="F45" s="45" t="s">
        <v>123</v>
      </c>
      <c r="G45" s="46">
        <v>100</v>
      </c>
    </row>
    <row r="46" spans="1:7" ht="15">
      <c r="A46" s="105"/>
      <c r="B46" s="105"/>
      <c r="C46" s="105"/>
      <c r="D46" s="105"/>
      <c r="E46" s="105"/>
      <c r="F46" s="45" t="s">
        <v>124</v>
      </c>
      <c r="G46" s="46">
        <v>100</v>
      </c>
    </row>
    <row r="47" spans="1:7" ht="15" customHeight="1">
      <c r="A47" s="100" t="s">
        <v>1288</v>
      </c>
      <c r="B47" s="100" t="s">
        <v>1289</v>
      </c>
      <c r="C47" s="100" t="s">
        <v>1290</v>
      </c>
      <c r="D47" s="102" t="s">
        <v>5</v>
      </c>
      <c r="E47" s="102" t="s">
        <v>142</v>
      </c>
      <c r="F47" s="45" t="s">
        <v>130</v>
      </c>
      <c r="G47" s="47">
        <f>(4/4)*100</f>
        <v>100</v>
      </c>
    </row>
    <row r="48" spans="1:7" ht="27">
      <c r="A48" s="101"/>
      <c r="B48" s="101"/>
      <c r="C48" s="101"/>
      <c r="D48" s="103"/>
      <c r="E48" s="103"/>
      <c r="F48" s="45" t="s">
        <v>131</v>
      </c>
      <c r="G48" s="47">
        <v>100</v>
      </c>
    </row>
    <row r="49" spans="1:7" ht="15" customHeight="1">
      <c r="A49" s="104" t="s">
        <v>119</v>
      </c>
      <c r="B49" s="104" t="s">
        <v>120</v>
      </c>
      <c r="C49" s="104" t="s">
        <v>65</v>
      </c>
      <c r="D49" s="104" t="s">
        <v>121</v>
      </c>
      <c r="E49" s="104" t="s">
        <v>122</v>
      </c>
      <c r="F49" s="45" t="s">
        <v>123</v>
      </c>
      <c r="G49" s="46">
        <v>100</v>
      </c>
    </row>
    <row r="50" spans="1:7" ht="15">
      <c r="A50" s="105"/>
      <c r="B50" s="105"/>
      <c r="C50" s="105"/>
      <c r="D50" s="105"/>
      <c r="E50" s="105"/>
      <c r="F50" s="45" t="s">
        <v>124</v>
      </c>
      <c r="G50" s="46">
        <v>100</v>
      </c>
    </row>
    <row r="51" spans="1:7" ht="51" customHeight="1">
      <c r="A51" s="100" t="s">
        <v>1291</v>
      </c>
      <c r="B51" s="100" t="s">
        <v>1292</v>
      </c>
      <c r="C51" s="100" t="s">
        <v>1293</v>
      </c>
      <c r="D51" s="102" t="s">
        <v>5</v>
      </c>
      <c r="E51" s="102" t="s">
        <v>298</v>
      </c>
      <c r="F51" s="45" t="s">
        <v>130</v>
      </c>
      <c r="G51" s="47">
        <f>3/3*100</f>
        <v>100</v>
      </c>
    </row>
    <row r="52" spans="1:7" ht="51" customHeight="1">
      <c r="A52" s="101"/>
      <c r="B52" s="101"/>
      <c r="C52" s="101"/>
      <c r="D52" s="103"/>
      <c r="E52" s="103"/>
      <c r="F52" s="45" t="s">
        <v>131</v>
      </c>
      <c r="G52" s="47">
        <v>100</v>
      </c>
    </row>
    <row r="53" spans="1:7" ht="15" customHeight="1">
      <c r="A53" s="104" t="s">
        <v>119</v>
      </c>
      <c r="B53" s="104" t="s">
        <v>120</v>
      </c>
      <c r="C53" s="104" t="s">
        <v>65</v>
      </c>
      <c r="D53" s="104" t="s">
        <v>121</v>
      </c>
      <c r="E53" s="104" t="s">
        <v>122</v>
      </c>
      <c r="F53" s="45" t="s">
        <v>123</v>
      </c>
      <c r="G53" s="46">
        <v>95</v>
      </c>
    </row>
    <row r="54" spans="1:7" ht="15">
      <c r="A54" s="105"/>
      <c r="B54" s="105"/>
      <c r="C54" s="105"/>
      <c r="D54" s="105"/>
      <c r="E54" s="105"/>
      <c r="F54" s="45" t="s">
        <v>124</v>
      </c>
      <c r="G54" s="46">
        <v>95</v>
      </c>
    </row>
    <row r="55" spans="1:7" ht="39.75" customHeight="1">
      <c r="A55" s="100" t="s">
        <v>1294</v>
      </c>
      <c r="B55" s="100" t="s">
        <v>1295</v>
      </c>
      <c r="C55" s="100" t="s">
        <v>1296</v>
      </c>
      <c r="D55" s="102" t="s">
        <v>5</v>
      </c>
      <c r="E55" s="102" t="s">
        <v>298</v>
      </c>
      <c r="F55" s="45" t="s">
        <v>130</v>
      </c>
      <c r="G55" s="47">
        <f>(17/17)*100</f>
        <v>100</v>
      </c>
    </row>
    <row r="56" spans="1:7" ht="39.75" customHeight="1">
      <c r="A56" s="101"/>
      <c r="B56" s="101"/>
      <c r="C56" s="101"/>
      <c r="D56" s="103"/>
      <c r="E56" s="103"/>
      <c r="F56" s="45" t="s">
        <v>131</v>
      </c>
      <c r="G56" s="47">
        <v>105.26315789473684</v>
      </c>
    </row>
    <row r="57" spans="1:7" ht="15" customHeight="1">
      <c r="A57" s="104" t="s">
        <v>119</v>
      </c>
      <c r="B57" s="104" t="s">
        <v>120</v>
      </c>
      <c r="C57" s="104" t="s">
        <v>65</v>
      </c>
      <c r="D57" s="104" t="s">
        <v>121</v>
      </c>
      <c r="E57" s="104" t="s">
        <v>122</v>
      </c>
      <c r="F57" s="45" t="s">
        <v>123</v>
      </c>
      <c r="G57" s="46">
        <v>100</v>
      </c>
    </row>
    <row r="58" spans="1:7" ht="15">
      <c r="A58" s="105"/>
      <c r="B58" s="105"/>
      <c r="C58" s="105"/>
      <c r="D58" s="105"/>
      <c r="E58" s="105"/>
      <c r="F58" s="45" t="s">
        <v>124</v>
      </c>
      <c r="G58" s="46">
        <v>100</v>
      </c>
    </row>
    <row r="59" spans="1:7" ht="43.5" customHeight="1">
      <c r="A59" s="100" t="s">
        <v>1297</v>
      </c>
      <c r="B59" s="100" t="s">
        <v>1298</v>
      </c>
      <c r="C59" s="100" t="s">
        <v>1299</v>
      </c>
      <c r="D59" s="102" t="s">
        <v>5</v>
      </c>
      <c r="E59" s="102" t="s">
        <v>142</v>
      </c>
      <c r="F59" s="45" t="s">
        <v>130</v>
      </c>
      <c r="G59" s="47">
        <f>+(862/862)*100</f>
        <v>100</v>
      </c>
    </row>
    <row r="60" spans="1:7" ht="43.5" customHeight="1">
      <c r="A60" s="101"/>
      <c r="B60" s="101"/>
      <c r="C60" s="101"/>
      <c r="D60" s="103"/>
      <c r="E60" s="103"/>
      <c r="F60" s="45" t="s">
        <v>131</v>
      </c>
      <c r="G60" s="47">
        <v>100</v>
      </c>
    </row>
    <row r="61" spans="1:7" ht="15">
      <c r="A61" s="96" t="s">
        <v>303</v>
      </c>
      <c r="B61" s="96"/>
      <c r="C61" s="96"/>
      <c r="D61" s="96"/>
      <c r="E61" s="96"/>
      <c r="F61" s="96"/>
      <c r="G61" s="96"/>
    </row>
    <row r="62" spans="1:7" ht="15">
      <c r="A62" s="106" t="s">
        <v>117</v>
      </c>
      <c r="B62" s="106"/>
      <c r="C62" s="106"/>
      <c r="D62" s="106"/>
      <c r="E62" s="106"/>
      <c r="F62" s="106" t="s">
        <v>118</v>
      </c>
      <c r="G62" s="106"/>
    </row>
    <row r="63" spans="1:7" ht="15" customHeight="1">
      <c r="A63" s="104" t="s">
        <v>119</v>
      </c>
      <c r="B63" s="104" t="s">
        <v>120</v>
      </c>
      <c r="C63" s="104" t="s">
        <v>65</v>
      </c>
      <c r="D63" s="104" t="s">
        <v>121</v>
      </c>
      <c r="E63" s="104" t="s">
        <v>122</v>
      </c>
      <c r="F63" s="45" t="s">
        <v>123</v>
      </c>
      <c r="G63" s="46">
        <v>100</v>
      </c>
    </row>
    <row r="64" spans="1:7" ht="15">
      <c r="A64" s="105"/>
      <c r="B64" s="105"/>
      <c r="C64" s="105"/>
      <c r="D64" s="105"/>
      <c r="E64" s="105"/>
      <c r="F64" s="45" t="s">
        <v>124</v>
      </c>
      <c r="G64" s="46">
        <v>100</v>
      </c>
    </row>
    <row r="65" spans="1:7" ht="33" customHeight="1">
      <c r="A65" s="100" t="s">
        <v>1300</v>
      </c>
      <c r="B65" s="100" t="s">
        <v>1301</v>
      </c>
      <c r="C65" s="100" t="s">
        <v>1302</v>
      </c>
      <c r="D65" s="102" t="s">
        <v>5</v>
      </c>
      <c r="E65" s="102" t="s">
        <v>298</v>
      </c>
      <c r="F65" s="45" t="s">
        <v>130</v>
      </c>
      <c r="G65" s="47">
        <f>(1/1)*100</f>
        <v>100</v>
      </c>
    </row>
    <row r="66" spans="1:7" ht="33" customHeight="1">
      <c r="A66" s="101"/>
      <c r="B66" s="101"/>
      <c r="C66" s="101"/>
      <c r="D66" s="103"/>
      <c r="E66" s="103"/>
      <c r="F66" s="45" t="s">
        <v>131</v>
      </c>
      <c r="G66" s="47">
        <v>100</v>
      </c>
    </row>
    <row r="67" spans="1:7" ht="15" customHeight="1">
      <c r="A67" s="104" t="s">
        <v>119</v>
      </c>
      <c r="B67" s="104" t="s">
        <v>120</v>
      </c>
      <c r="C67" s="104" t="s">
        <v>65</v>
      </c>
      <c r="D67" s="104" t="s">
        <v>121</v>
      </c>
      <c r="E67" s="104" t="s">
        <v>122</v>
      </c>
      <c r="F67" s="45" t="s">
        <v>123</v>
      </c>
      <c r="G67" s="46">
        <v>100</v>
      </c>
    </row>
    <row r="68" spans="1:7" ht="15">
      <c r="A68" s="105"/>
      <c r="B68" s="105"/>
      <c r="C68" s="105"/>
      <c r="D68" s="105"/>
      <c r="E68" s="105"/>
      <c r="F68" s="45" t="s">
        <v>124</v>
      </c>
      <c r="G68" s="46">
        <v>100</v>
      </c>
    </row>
    <row r="69" spans="1:7" ht="30" customHeight="1">
      <c r="A69" s="100" t="s">
        <v>1303</v>
      </c>
      <c r="B69" s="100" t="s">
        <v>1304</v>
      </c>
      <c r="C69" s="100" t="s">
        <v>1305</v>
      </c>
      <c r="D69" s="102" t="s">
        <v>5</v>
      </c>
      <c r="E69" s="102" t="s">
        <v>298</v>
      </c>
      <c r="F69" s="45" t="s">
        <v>130</v>
      </c>
      <c r="G69" s="47">
        <f>(1/1)*100</f>
        <v>100</v>
      </c>
    </row>
    <row r="70" spans="1:7" ht="30" customHeight="1">
      <c r="A70" s="101"/>
      <c r="B70" s="101"/>
      <c r="C70" s="101"/>
      <c r="D70" s="103"/>
      <c r="E70" s="103"/>
      <c r="F70" s="45" t="s">
        <v>131</v>
      </c>
      <c r="G70" s="47">
        <v>100</v>
      </c>
    </row>
    <row r="71" spans="1:7" ht="15" customHeight="1">
      <c r="A71" s="104" t="s">
        <v>119</v>
      </c>
      <c r="B71" s="104" t="s">
        <v>120</v>
      </c>
      <c r="C71" s="104" t="s">
        <v>65</v>
      </c>
      <c r="D71" s="104" t="s">
        <v>121</v>
      </c>
      <c r="E71" s="104" t="s">
        <v>122</v>
      </c>
      <c r="F71" s="45" t="s">
        <v>123</v>
      </c>
      <c r="G71" s="46">
        <v>100</v>
      </c>
    </row>
    <row r="72" spans="1:7" ht="15">
      <c r="A72" s="105"/>
      <c r="B72" s="105"/>
      <c r="C72" s="105"/>
      <c r="D72" s="105"/>
      <c r="E72" s="105"/>
      <c r="F72" s="45" t="s">
        <v>124</v>
      </c>
      <c r="G72" s="46">
        <v>100</v>
      </c>
    </row>
    <row r="73" spans="1:7" ht="30.75" customHeight="1">
      <c r="A73" s="100" t="s">
        <v>1306</v>
      </c>
      <c r="B73" s="100" t="s">
        <v>1307</v>
      </c>
      <c r="C73" s="100" t="s">
        <v>1308</v>
      </c>
      <c r="D73" s="102" t="s">
        <v>5</v>
      </c>
      <c r="E73" s="102" t="s">
        <v>298</v>
      </c>
      <c r="F73" s="45" t="s">
        <v>130</v>
      </c>
      <c r="G73" s="47">
        <f>(1/4)*100</f>
        <v>25</v>
      </c>
    </row>
    <row r="74" spans="1:7" ht="30.75" customHeight="1">
      <c r="A74" s="101"/>
      <c r="B74" s="101"/>
      <c r="C74" s="101"/>
      <c r="D74" s="103"/>
      <c r="E74" s="103"/>
      <c r="F74" s="45" t="s">
        <v>131</v>
      </c>
      <c r="G74" s="47">
        <v>25</v>
      </c>
    </row>
    <row r="75" spans="1:7" ht="15" customHeight="1">
      <c r="A75" s="104" t="s">
        <v>119</v>
      </c>
      <c r="B75" s="104" t="s">
        <v>120</v>
      </c>
      <c r="C75" s="104" t="s">
        <v>65</v>
      </c>
      <c r="D75" s="104" t="s">
        <v>121</v>
      </c>
      <c r="E75" s="104" t="s">
        <v>122</v>
      </c>
      <c r="F75" s="45" t="s">
        <v>123</v>
      </c>
      <c r="G75" s="46">
        <v>95</v>
      </c>
    </row>
    <row r="76" spans="1:7" ht="15">
      <c r="A76" s="105"/>
      <c r="B76" s="105"/>
      <c r="C76" s="105"/>
      <c r="D76" s="105"/>
      <c r="E76" s="105"/>
      <c r="F76" s="45" t="s">
        <v>124</v>
      </c>
      <c r="G76" s="46">
        <v>100</v>
      </c>
    </row>
    <row r="77" spans="1:7" ht="48.75" customHeight="1">
      <c r="A77" s="100" t="s">
        <v>1309</v>
      </c>
      <c r="B77" s="100" t="s">
        <v>1310</v>
      </c>
      <c r="C77" s="100" t="s">
        <v>1311</v>
      </c>
      <c r="D77" s="102" t="s">
        <v>5</v>
      </c>
      <c r="E77" s="102" t="s">
        <v>298</v>
      </c>
      <c r="F77" s="45" t="s">
        <v>130</v>
      </c>
      <c r="G77" s="47">
        <f>(4/4)*100</f>
        <v>100</v>
      </c>
    </row>
    <row r="78" spans="1:7" ht="48.75" customHeight="1">
      <c r="A78" s="101"/>
      <c r="B78" s="101"/>
      <c r="C78" s="101"/>
      <c r="D78" s="103"/>
      <c r="E78" s="103"/>
      <c r="F78" s="45" t="s">
        <v>131</v>
      </c>
      <c r="G78" s="47">
        <v>100</v>
      </c>
    </row>
    <row r="79" spans="1:7" ht="15" customHeight="1">
      <c r="A79" s="104" t="s">
        <v>119</v>
      </c>
      <c r="B79" s="104" t="s">
        <v>120</v>
      </c>
      <c r="C79" s="104" t="s">
        <v>65</v>
      </c>
      <c r="D79" s="104" t="s">
        <v>121</v>
      </c>
      <c r="E79" s="104" t="s">
        <v>122</v>
      </c>
      <c r="F79" s="45" t="s">
        <v>123</v>
      </c>
      <c r="G79" s="46">
        <v>100</v>
      </c>
    </row>
    <row r="80" spans="1:7" ht="15">
      <c r="A80" s="105"/>
      <c r="B80" s="105"/>
      <c r="C80" s="105"/>
      <c r="D80" s="105"/>
      <c r="E80" s="105"/>
      <c r="F80" s="45" t="s">
        <v>124</v>
      </c>
      <c r="G80" s="46">
        <v>100</v>
      </c>
    </row>
    <row r="81" spans="1:7" ht="33" customHeight="1">
      <c r="A81" s="100" t="s">
        <v>1312</v>
      </c>
      <c r="B81" s="100" t="s">
        <v>1313</v>
      </c>
      <c r="C81" s="100" t="s">
        <v>1314</v>
      </c>
      <c r="D81" s="102" t="s">
        <v>5</v>
      </c>
      <c r="E81" s="102" t="s">
        <v>298</v>
      </c>
      <c r="F81" s="45" t="s">
        <v>130</v>
      </c>
      <c r="G81" s="47">
        <f>(4/4)*100</f>
        <v>100</v>
      </c>
    </row>
    <row r="82" spans="1:7" ht="33" customHeight="1">
      <c r="A82" s="101"/>
      <c r="B82" s="101"/>
      <c r="C82" s="101"/>
      <c r="D82" s="103"/>
      <c r="E82" s="103"/>
      <c r="F82" s="45" t="s">
        <v>131</v>
      </c>
      <c r="G82" s="47">
        <v>100</v>
      </c>
    </row>
    <row r="83" spans="1:7" ht="15" customHeight="1">
      <c r="A83" s="104" t="s">
        <v>119</v>
      </c>
      <c r="B83" s="104" t="s">
        <v>120</v>
      </c>
      <c r="C83" s="104" t="s">
        <v>65</v>
      </c>
      <c r="D83" s="104" t="s">
        <v>121</v>
      </c>
      <c r="E83" s="104" t="s">
        <v>122</v>
      </c>
      <c r="F83" s="45" t="s">
        <v>123</v>
      </c>
      <c r="G83" s="46">
        <v>100</v>
      </c>
    </row>
    <row r="84" spans="1:7" ht="15">
      <c r="A84" s="105"/>
      <c r="B84" s="105"/>
      <c r="C84" s="105"/>
      <c r="D84" s="105"/>
      <c r="E84" s="105"/>
      <c r="F84" s="45" t="s">
        <v>124</v>
      </c>
      <c r="G84" s="46">
        <v>100</v>
      </c>
    </row>
    <row r="85" spans="1:7" ht="28.5" customHeight="1">
      <c r="A85" s="100" t="s">
        <v>1315</v>
      </c>
      <c r="B85" s="100" t="s">
        <v>1316</v>
      </c>
      <c r="C85" s="100" t="s">
        <v>1317</v>
      </c>
      <c r="D85" s="102" t="s">
        <v>5</v>
      </c>
      <c r="E85" s="102" t="s">
        <v>298</v>
      </c>
      <c r="F85" s="45" t="s">
        <v>130</v>
      </c>
      <c r="G85" s="47">
        <f>(4/4)*100</f>
        <v>100</v>
      </c>
    </row>
    <row r="86" spans="1:7" ht="28.5" customHeight="1">
      <c r="A86" s="101"/>
      <c r="B86" s="101"/>
      <c r="C86" s="101"/>
      <c r="D86" s="103"/>
      <c r="E86" s="103"/>
      <c r="F86" s="45" t="s">
        <v>131</v>
      </c>
      <c r="G86" s="47">
        <v>100</v>
      </c>
    </row>
    <row r="87" spans="1:7" ht="15" customHeight="1">
      <c r="A87" s="104" t="s">
        <v>119</v>
      </c>
      <c r="B87" s="104" t="s">
        <v>120</v>
      </c>
      <c r="C87" s="104" t="s">
        <v>65</v>
      </c>
      <c r="D87" s="104" t="s">
        <v>121</v>
      </c>
      <c r="E87" s="104" t="s">
        <v>122</v>
      </c>
      <c r="F87" s="45" t="s">
        <v>123</v>
      </c>
      <c r="G87" s="46">
        <v>100</v>
      </c>
    </row>
    <row r="88" spans="1:7" ht="15">
      <c r="A88" s="105"/>
      <c r="B88" s="105"/>
      <c r="C88" s="105"/>
      <c r="D88" s="105"/>
      <c r="E88" s="105"/>
      <c r="F88" s="45" t="s">
        <v>124</v>
      </c>
      <c r="G88" s="46">
        <v>100</v>
      </c>
    </row>
    <row r="89" spans="1:7" ht="15" customHeight="1">
      <c r="A89" s="100" t="s">
        <v>1318</v>
      </c>
      <c r="B89" s="100" t="s">
        <v>1319</v>
      </c>
      <c r="C89" s="100" t="s">
        <v>1320</v>
      </c>
      <c r="D89" s="102" t="s">
        <v>5</v>
      </c>
      <c r="E89" s="102" t="s">
        <v>142</v>
      </c>
      <c r="F89" s="45" t="s">
        <v>130</v>
      </c>
      <c r="G89" s="47">
        <f>(17/17)*100</f>
        <v>100</v>
      </c>
    </row>
    <row r="90" spans="1:7" ht="27">
      <c r="A90" s="101"/>
      <c r="B90" s="101"/>
      <c r="C90" s="101"/>
      <c r="D90" s="103"/>
      <c r="E90" s="103"/>
      <c r="F90" s="45" t="s">
        <v>131</v>
      </c>
      <c r="G90" s="47">
        <v>100</v>
      </c>
    </row>
    <row r="91" spans="1:7" ht="15" customHeight="1">
      <c r="A91" s="104" t="s">
        <v>119</v>
      </c>
      <c r="B91" s="104" t="s">
        <v>120</v>
      </c>
      <c r="C91" s="104" t="s">
        <v>65</v>
      </c>
      <c r="D91" s="104" t="s">
        <v>121</v>
      </c>
      <c r="E91" s="104" t="s">
        <v>122</v>
      </c>
      <c r="F91" s="45" t="s">
        <v>123</v>
      </c>
      <c r="G91" s="46">
        <v>100</v>
      </c>
    </row>
    <row r="92" spans="1:7" ht="15">
      <c r="A92" s="105"/>
      <c r="B92" s="105"/>
      <c r="C92" s="105"/>
      <c r="D92" s="105"/>
      <c r="E92" s="105"/>
      <c r="F92" s="45" t="s">
        <v>124</v>
      </c>
      <c r="G92" s="46">
        <v>100</v>
      </c>
    </row>
    <row r="93" spans="1:7" ht="63" customHeight="1">
      <c r="A93" s="100" t="s">
        <v>1321</v>
      </c>
      <c r="B93" s="100" t="s">
        <v>1322</v>
      </c>
      <c r="C93" s="100" t="s">
        <v>1323</v>
      </c>
      <c r="D93" s="102" t="s">
        <v>5</v>
      </c>
      <c r="E93" s="102" t="s">
        <v>142</v>
      </c>
      <c r="F93" s="45" t="s">
        <v>130</v>
      </c>
      <c r="G93" s="47">
        <f>4/4*100</f>
        <v>100</v>
      </c>
    </row>
    <row r="94" spans="1:7" ht="63" customHeight="1">
      <c r="A94" s="101"/>
      <c r="B94" s="101"/>
      <c r="C94" s="101"/>
      <c r="D94" s="103"/>
      <c r="E94" s="103"/>
      <c r="F94" s="45" t="s">
        <v>131</v>
      </c>
      <c r="G94" s="47">
        <v>100</v>
      </c>
    </row>
    <row r="95" spans="1:7" ht="15" customHeight="1">
      <c r="A95" s="104" t="s">
        <v>119</v>
      </c>
      <c r="B95" s="104" t="s">
        <v>120</v>
      </c>
      <c r="C95" s="104" t="s">
        <v>65</v>
      </c>
      <c r="D95" s="104" t="s">
        <v>121</v>
      </c>
      <c r="E95" s="104" t="s">
        <v>122</v>
      </c>
      <c r="F95" s="45" t="s">
        <v>123</v>
      </c>
      <c r="G95" s="46">
        <v>100</v>
      </c>
    </row>
    <row r="96" spans="1:7" ht="15">
      <c r="A96" s="105"/>
      <c r="B96" s="105"/>
      <c r="C96" s="105"/>
      <c r="D96" s="105"/>
      <c r="E96" s="105"/>
      <c r="F96" s="45" t="s">
        <v>124</v>
      </c>
      <c r="G96" s="46">
        <v>100</v>
      </c>
    </row>
    <row r="97" spans="1:7" ht="32.25" customHeight="1">
      <c r="A97" s="100" t="s">
        <v>1324</v>
      </c>
      <c r="B97" s="100" t="s">
        <v>1325</v>
      </c>
      <c r="C97" s="100" t="s">
        <v>1326</v>
      </c>
      <c r="D97" s="102" t="s">
        <v>5</v>
      </c>
      <c r="E97" s="102" t="s">
        <v>298</v>
      </c>
      <c r="F97" s="45" t="s">
        <v>130</v>
      </c>
      <c r="G97" s="47">
        <f>(4/4)*100</f>
        <v>100</v>
      </c>
    </row>
    <row r="98" spans="1:7" ht="32.25" customHeight="1">
      <c r="A98" s="101"/>
      <c r="B98" s="101"/>
      <c r="C98" s="101"/>
      <c r="D98" s="103"/>
      <c r="E98" s="103"/>
      <c r="F98" s="45" t="s">
        <v>131</v>
      </c>
      <c r="G98" s="47">
        <v>100</v>
      </c>
    </row>
    <row r="99" spans="1:7" ht="15" customHeight="1">
      <c r="A99" s="104" t="s">
        <v>119</v>
      </c>
      <c r="B99" s="104" t="s">
        <v>120</v>
      </c>
      <c r="C99" s="104" t="s">
        <v>65</v>
      </c>
      <c r="D99" s="104" t="s">
        <v>121</v>
      </c>
      <c r="E99" s="104" t="s">
        <v>122</v>
      </c>
      <c r="F99" s="45" t="s">
        <v>123</v>
      </c>
      <c r="G99" s="46">
        <v>100</v>
      </c>
    </row>
    <row r="100" spans="1:7" ht="15">
      <c r="A100" s="105"/>
      <c r="B100" s="105"/>
      <c r="C100" s="105"/>
      <c r="D100" s="105"/>
      <c r="E100" s="105"/>
      <c r="F100" s="45" t="s">
        <v>124</v>
      </c>
      <c r="G100" s="46">
        <v>100</v>
      </c>
    </row>
    <row r="101" spans="1:7" ht="77.25" customHeight="1">
      <c r="A101" s="100" t="s">
        <v>1327</v>
      </c>
      <c r="B101" s="100" t="s">
        <v>1328</v>
      </c>
      <c r="C101" s="100" t="s">
        <v>1329</v>
      </c>
      <c r="D101" s="102" t="s">
        <v>5</v>
      </c>
      <c r="E101" s="102" t="s">
        <v>142</v>
      </c>
      <c r="F101" s="45" t="s">
        <v>130</v>
      </c>
      <c r="G101" s="47">
        <f>+(602/602)*100</f>
        <v>100</v>
      </c>
    </row>
    <row r="102" spans="1:7" ht="77.25" customHeight="1">
      <c r="A102" s="101"/>
      <c r="B102" s="101"/>
      <c r="C102" s="101"/>
      <c r="D102" s="103"/>
      <c r="E102" s="103"/>
      <c r="F102" s="45" t="s">
        <v>131</v>
      </c>
      <c r="G102" s="47">
        <v>100</v>
      </c>
    </row>
    <row r="103" spans="1:7" ht="15" customHeight="1">
      <c r="A103" s="104" t="s">
        <v>119</v>
      </c>
      <c r="B103" s="104" t="s">
        <v>120</v>
      </c>
      <c r="C103" s="104" t="s">
        <v>65</v>
      </c>
      <c r="D103" s="104" t="s">
        <v>121</v>
      </c>
      <c r="E103" s="104" t="s">
        <v>122</v>
      </c>
      <c r="F103" s="45" t="s">
        <v>123</v>
      </c>
      <c r="G103" s="46">
        <v>100</v>
      </c>
    </row>
    <row r="104" spans="1:7" ht="15">
      <c r="A104" s="105"/>
      <c r="B104" s="105"/>
      <c r="C104" s="105"/>
      <c r="D104" s="105"/>
      <c r="E104" s="105"/>
      <c r="F104" s="45" t="s">
        <v>124</v>
      </c>
      <c r="G104" s="46">
        <v>100</v>
      </c>
    </row>
    <row r="105" spans="1:7" ht="35.25" customHeight="1">
      <c r="A105" s="100" t="s">
        <v>1330</v>
      </c>
      <c r="B105" s="100" t="s">
        <v>1331</v>
      </c>
      <c r="C105" s="100" t="s">
        <v>1332</v>
      </c>
      <c r="D105" s="102" t="s">
        <v>5</v>
      </c>
      <c r="E105" s="102" t="s">
        <v>167</v>
      </c>
      <c r="F105" s="45" t="s">
        <v>130</v>
      </c>
      <c r="G105" s="47">
        <f>+(40/40)*100</f>
        <v>100</v>
      </c>
    </row>
    <row r="106" spans="1:7" ht="35.25" customHeight="1">
      <c r="A106" s="101"/>
      <c r="B106" s="101"/>
      <c r="C106" s="101"/>
      <c r="D106" s="103"/>
      <c r="E106" s="103"/>
      <c r="F106" s="45" t="s">
        <v>131</v>
      </c>
      <c r="G106" s="47">
        <v>100</v>
      </c>
    </row>
    <row r="107" spans="1:7" ht="15">
      <c r="A107" s="96" t="s">
        <v>192</v>
      </c>
      <c r="B107" s="96"/>
      <c r="C107" s="96"/>
      <c r="D107" s="96"/>
      <c r="E107" s="96"/>
      <c r="F107" s="96"/>
      <c r="G107" s="96"/>
    </row>
    <row r="108" spans="1:7" ht="15">
      <c r="A108" s="99" t="s">
        <v>1279</v>
      </c>
      <c r="B108" s="99"/>
      <c r="C108" s="99"/>
      <c r="D108" s="99"/>
      <c r="E108" s="99"/>
      <c r="F108" s="99"/>
      <c r="G108" s="99"/>
    </row>
    <row r="109" spans="1:7" ht="31.5" customHeight="1">
      <c r="A109" s="48" t="s">
        <v>193</v>
      </c>
      <c r="B109" s="94" t="s">
        <v>1333</v>
      </c>
      <c r="C109" s="94"/>
      <c r="D109" s="94"/>
      <c r="E109" s="94"/>
      <c r="F109" s="94"/>
      <c r="G109" s="94"/>
    </row>
    <row r="110" spans="1:7" ht="31.5" customHeight="1">
      <c r="A110" s="49" t="s">
        <v>6</v>
      </c>
      <c r="B110" s="94" t="s">
        <v>1366</v>
      </c>
      <c r="C110" s="94"/>
      <c r="D110" s="94"/>
      <c r="E110" s="94"/>
      <c r="F110" s="94"/>
      <c r="G110" s="94"/>
    </row>
    <row r="111" spans="1:7" ht="15">
      <c r="A111" s="49" t="s">
        <v>195</v>
      </c>
      <c r="B111" s="95" t="s">
        <v>259</v>
      </c>
      <c r="C111" s="95"/>
      <c r="D111" s="95"/>
      <c r="E111" s="95"/>
      <c r="F111" s="95"/>
      <c r="G111" s="95"/>
    </row>
    <row r="112" spans="1:7" ht="15">
      <c r="A112" s="90" t="s">
        <v>1282</v>
      </c>
      <c r="B112" s="90"/>
      <c r="C112" s="90"/>
      <c r="D112" s="90"/>
      <c r="E112" s="90"/>
      <c r="F112" s="90"/>
      <c r="G112" s="90"/>
    </row>
    <row r="113" spans="1:7" ht="31.5" customHeight="1">
      <c r="A113" s="49" t="s">
        <v>193</v>
      </c>
      <c r="B113" s="94" t="s">
        <v>1367</v>
      </c>
      <c r="C113" s="94"/>
      <c r="D113" s="94"/>
      <c r="E113" s="94"/>
      <c r="F113" s="94"/>
      <c r="G113" s="94"/>
    </row>
    <row r="114" spans="1:7" ht="31.5" customHeight="1">
      <c r="A114" s="49" t="s">
        <v>6</v>
      </c>
      <c r="B114" s="94" t="s">
        <v>1334</v>
      </c>
      <c r="C114" s="94"/>
      <c r="D114" s="94"/>
      <c r="E114" s="94"/>
      <c r="F114" s="94"/>
      <c r="G114" s="94"/>
    </row>
    <row r="115" spans="1:7" ht="15">
      <c r="A115" s="49" t="s">
        <v>195</v>
      </c>
      <c r="B115" s="95"/>
      <c r="C115" s="95"/>
      <c r="D115" s="95"/>
      <c r="E115" s="95"/>
      <c r="F115" s="95"/>
      <c r="G115" s="95"/>
    </row>
    <row r="116" spans="1:7" ht="15">
      <c r="A116" s="90" t="s">
        <v>1285</v>
      </c>
      <c r="B116" s="90"/>
      <c r="C116" s="90"/>
      <c r="D116" s="90"/>
      <c r="E116" s="90"/>
      <c r="F116" s="90"/>
      <c r="G116" s="90"/>
    </row>
    <row r="117" spans="1:7" ht="108" customHeight="1">
      <c r="A117" s="48" t="s">
        <v>193</v>
      </c>
      <c r="B117" s="98" t="s">
        <v>1335</v>
      </c>
      <c r="C117" s="98"/>
      <c r="D117" s="98"/>
      <c r="E117" s="98"/>
      <c r="F117" s="98"/>
      <c r="G117" s="98"/>
    </row>
    <row r="118" spans="1:7" ht="31.5" customHeight="1">
      <c r="A118" s="49" t="s">
        <v>6</v>
      </c>
      <c r="B118" s="94" t="s">
        <v>1336</v>
      </c>
      <c r="C118" s="94"/>
      <c r="D118" s="94"/>
      <c r="E118" s="94"/>
      <c r="F118" s="94"/>
      <c r="G118" s="94"/>
    </row>
    <row r="119" spans="1:7" ht="15">
      <c r="A119" s="49" t="s">
        <v>195</v>
      </c>
      <c r="B119" s="95" t="s">
        <v>259</v>
      </c>
      <c r="C119" s="95"/>
      <c r="D119" s="95"/>
      <c r="E119" s="95"/>
      <c r="F119" s="95"/>
      <c r="G119" s="95"/>
    </row>
    <row r="120" spans="1:7" ht="15">
      <c r="A120" s="97" t="s">
        <v>1288</v>
      </c>
      <c r="B120" s="97"/>
      <c r="C120" s="97"/>
      <c r="D120" s="97"/>
      <c r="E120" s="97"/>
      <c r="F120" s="97"/>
      <c r="G120" s="97"/>
    </row>
    <row r="121" spans="1:7" ht="31.5" customHeight="1">
      <c r="A121" s="49" t="s">
        <v>193</v>
      </c>
      <c r="B121" s="94" t="s">
        <v>1337</v>
      </c>
      <c r="C121" s="94"/>
      <c r="D121" s="94"/>
      <c r="E121" s="94"/>
      <c r="F121" s="94"/>
      <c r="G121" s="94"/>
    </row>
    <row r="122" spans="1:7" ht="15">
      <c r="A122" s="49" t="s">
        <v>6</v>
      </c>
      <c r="B122" s="94" t="s">
        <v>1338</v>
      </c>
      <c r="C122" s="94"/>
      <c r="D122" s="94"/>
      <c r="E122" s="94"/>
      <c r="F122" s="94"/>
      <c r="G122" s="94"/>
    </row>
    <row r="123" spans="1:7" ht="15">
      <c r="A123" s="49" t="s">
        <v>195</v>
      </c>
      <c r="B123" s="95" t="s">
        <v>259</v>
      </c>
      <c r="C123" s="95"/>
      <c r="D123" s="95"/>
      <c r="E123" s="95"/>
      <c r="F123" s="95"/>
      <c r="G123" s="95"/>
    </row>
    <row r="124" spans="1:7" ht="15">
      <c r="A124" s="90" t="s">
        <v>1291</v>
      </c>
      <c r="B124" s="90"/>
      <c r="C124" s="90"/>
      <c r="D124" s="90"/>
      <c r="E124" s="90"/>
      <c r="F124" s="90"/>
      <c r="G124" s="90"/>
    </row>
    <row r="125" spans="1:7" ht="15">
      <c r="A125" s="49" t="s">
        <v>193</v>
      </c>
      <c r="B125" s="94" t="s">
        <v>1339</v>
      </c>
      <c r="C125" s="94"/>
      <c r="D125" s="94"/>
      <c r="E125" s="94"/>
      <c r="F125" s="94"/>
      <c r="G125" s="94"/>
    </row>
    <row r="126" spans="1:7" ht="31.5" customHeight="1">
      <c r="A126" s="49" t="s">
        <v>6</v>
      </c>
      <c r="B126" s="94" t="s">
        <v>1340</v>
      </c>
      <c r="C126" s="94"/>
      <c r="D126" s="94"/>
      <c r="E126" s="94"/>
      <c r="F126" s="94"/>
      <c r="G126" s="94"/>
    </row>
    <row r="127" spans="1:7" ht="15">
      <c r="A127" s="49" t="s">
        <v>195</v>
      </c>
      <c r="B127" s="95" t="s">
        <v>259</v>
      </c>
      <c r="C127" s="95"/>
      <c r="D127" s="95"/>
      <c r="E127" s="95"/>
      <c r="F127" s="95"/>
      <c r="G127" s="95"/>
    </row>
    <row r="128" spans="1:7" ht="15">
      <c r="A128" s="90" t="s">
        <v>1294</v>
      </c>
      <c r="B128" s="90"/>
      <c r="C128" s="90"/>
      <c r="D128" s="90"/>
      <c r="E128" s="90"/>
      <c r="F128" s="90"/>
      <c r="G128" s="90"/>
    </row>
    <row r="129" spans="1:7" ht="45" customHeight="1">
      <c r="A129" s="49" t="s">
        <v>193</v>
      </c>
      <c r="B129" s="94" t="s">
        <v>1341</v>
      </c>
      <c r="C129" s="94"/>
      <c r="D129" s="94"/>
      <c r="E129" s="94"/>
      <c r="F129" s="94"/>
      <c r="G129" s="94"/>
    </row>
    <row r="130" spans="1:7" ht="15">
      <c r="A130" s="49" t="s">
        <v>6</v>
      </c>
      <c r="B130" s="94" t="s">
        <v>1342</v>
      </c>
      <c r="C130" s="94"/>
      <c r="D130" s="94"/>
      <c r="E130" s="94"/>
      <c r="F130" s="94"/>
      <c r="G130" s="94"/>
    </row>
    <row r="131" spans="1:7" ht="15">
      <c r="A131" s="49" t="s">
        <v>195</v>
      </c>
      <c r="B131" s="95" t="s">
        <v>259</v>
      </c>
      <c r="C131" s="95"/>
      <c r="D131" s="95"/>
      <c r="E131" s="95"/>
      <c r="F131" s="95"/>
      <c r="G131" s="95"/>
    </row>
    <row r="132" spans="1:7" ht="15">
      <c r="A132" s="90" t="s">
        <v>1297</v>
      </c>
      <c r="B132" s="90"/>
      <c r="C132" s="90"/>
      <c r="D132" s="90"/>
      <c r="E132" s="90"/>
      <c r="F132" s="90"/>
      <c r="G132" s="90"/>
    </row>
    <row r="133" spans="1:7" ht="69" customHeight="1">
      <c r="A133" s="49" t="s">
        <v>193</v>
      </c>
      <c r="B133" s="94" t="s">
        <v>1343</v>
      </c>
      <c r="C133" s="94"/>
      <c r="D133" s="94"/>
      <c r="E133" s="94"/>
      <c r="F133" s="94"/>
      <c r="G133" s="94"/>
    </row>
    <row r="134" spans="1:7" ht="31.5" customHeight="1">
      <c r="A134" s="49" t="s">
        <v>6</v>
      </c>
      <c r="B134" s="94" t="s">
        <v>1344</v>
      </c>
      <c r="C134" s="94"/>
      <c r="D134" s="94"/>
      <c r="E134" s="94"/>
      <c r="F134" s="94"/>
      <c r="G134" s="94"/>
    </row>
    <row r="135" spans="1:7" ht="15">
      <c r="A135" s="49" t="s">
        <v>195</v>
      </c>
      <c r="B135" s="95" t="s">
        <v>259</v>
      </c>
      <c r="C135" s="95"/>
      <c r="D135" s="95"/>
      <c r="E135" s="95"/>
      <c r="F135" s="95"/>
      <c r="G135" s="95"/>
    </row>
    <row r="136" spans="1:7" ht="15">
      <c r="A136" s="90" t="s">
        <v>1300</v>
      </c>
      <c r="B136" s="90"/>
      <c r="C136" s="90"/>
      <c r="D136" s="90"/>
      <c r="E136" s="90"/>
      <c r="F136" s="90"/>
      <c r="G136" s="90"/>
    </row>
    <row r="137" spans="1:7" ht="99.75" customHeight="1">
      <c r="A137" s="49" t="s">
        <v>193</v>
      </c>
      <c r="B137" s="94" t="s">
        <v>1345</v>
      </c>
      <c r="C137" s="94"/>
      <c r="D137" s="94"/>
      <c r="E137" s="94"/>
      <c r="F137" s="94"/>
      <c r="G137" s="94"/>
    </row>
    <row r="138" spans="1:7" ht="31.5" customHeight="1">
      <c r="A138" s="49" t="s">
        <v>6</v>
      </c>
      <c r="B138" s="94" t="s">
        <v>1346</v>
      </c>
      <c r="C138" s="94"/>
      <c r="D138" s="94"/>
      <c r="E138" s="94"/>
      <c r="F138" s="94"/>
      <c r="G138" s="94"/>
    </row>
    <row r="139" spans="1:7" ht="15">
      <c r="A139" s="49" t="s">
        <v>195</v>
      </c>
      <c r="B139" s="95" t="s">
        <v>259</v>
      </c>
      <c r="C139" s="95"/>
      <c r="D139" s="95"/>
      <c r="E139" s="95"/>
      <c r="F139" s="95"/>
      <c r="G139" s="95"/>
    </row>
    <row r="140" spans="1:7" ht="15">
      <c r="A140" s="90" t="s">
        <v>1303</v>
      </c>
      <c r="B140" s="90"/>
      <c r="C140" s="90"/>
      <c r="D140" s="90"/>
      <c r="E140" s="90"/>
      <c r="F140" s="90"/>
      <c r="G140" s="90"/>
    </row>
    <row r="141" spans="1:7" ht="55.5" customHeight="1">
      <c r="A141" s="49" t="s">
        <v>193</v>
      </c>
      <c r="B141" s="94" t="s">
        <v>1347</v>
      </c>
      <c r="C141" s="94"/>
      <c r="D141" s="94"/>
      <c r="E141" s="94"/>
      <c r="F141" s="94"/>
      <c r="G141" s="94"/>
    </row>
    <row r="142" spans="1:7" ht="31.5" customHeight="1">
      <c r="A142" s="49" t="s">
        <v>6</v>
      </c>
      <c r="B142" s="94" t="s">
        <v>1348</v>
      </c>
      <c r="C142" s="94"/>
      <c r="D142" s="94"/>
      <c r="E142" s="94"/>
      <c r="F142" s="94"/>
      <c r="G142" s="94"/>
    </row>
    <row r="143" spans="1:7" ht="15">
      <c r="A143" s="49" t="s">
        <v>195</v>
      </c>
      <c r="B143" s="95" t="s">
        <v>259</v>
      </c>
      <c r="C143" s="95"/>
      <c r="D143" s="95"/>
      <c r="E143" s="95"/>
      <c r="F143" s="95"/>
      <c r="G143" s="95"/>
    </row>
    <row r="144" spans="1:7" ht="15">
      <c r="A144" s="90" t="s">
        <v>1306</v>
      </c>
      <c r="B144" s="90"/>
      <c r="C144" s="90"/>
      <c r="D144" s="90"/>
      <c r="E144" s="90"/>
      <c r="F144" s="90"/>
      <c r="G144" s="90"/>
    </row>
    <row r="145" spans="1:7" ht="53.25" customHeight="1">
      <c r="A145" s="49" t="s">
        <v>193</v>
      </c>
      <c r="B145" s="94" t="s">
        <v>1349</v>
      </c>
      <c r="C145" s="94"/>
      <c r="D145" s="94"/>
      <c r="E145" s="94"/>
      <c r="F145" s="94"/>
      <c r="G145" s="94"/>
    </row>
    <row r="146" spans="1:7" ht="15">
      <c r="A146" s="49" t="s">
        <v>6</v>
      </c>
      <c r="B146" s="94" t="s">
        <v>1368</v>
      </c>
      <c r="C146" s="94"/>
      <c r="D146" s="94"/>
      <c r="E146" s="94"/>
      <c r="F146" s="94"/>
      <c r="G146" s="94"/>
    </row>
    <row r="147" spans="1:7" ht="15">
      <c r="A147" s="49" t="s">
        <v>195</v>
      </c>
      <c r="B147" s="95" t="s">
        <v>259</v>
      </c>
      <c r="C147" s="95"/>
      <c r="D147" s="95"/>
      <c r="E147" s="95"/>
      <c r="F147" s="95"/>
      <c r="G147" s="95"/>
    </row>
    <row r="148" spans="1:7" ht="15">
      <c r="A148" s="90" t="s">
        <v>1309</v>
      </c>
      <c r="B148" s="90"/>
      <c r="C148" s="90"/>
      <c r="D148" s="90"/>
      <c r="E148" s="90"/>
      <c r="F148" s="90"/>
      <c r="G148" s="90"/>
    </row>
    <row r="149" spans="1:7" ht="38.25" customHeight="1">
      <c r="A149" s="49" t="s">
        <v>193</v>
      </c>
      <c r="B149" s="94" t="s">
        <v>1350</v>
      </c>
      <c r="C149" s="94"/>
      <c r="D149" s="94"/>
      <c r="E149" s="94"/>
      <c r="F149" s="94"/>
      <c r="G149" s="94"/>
    </row>
    <row r="150" spans="1:7" ht="15">
      <c r="A150" s="49" t="s">
        <v>6</v>
      </c>
      <c r="B150" s="94" t="s">
        <v>1369</v>
      </c>
      <c r="C150" s="94"/>
      <c r="D150" s="94"/>
      <c r="E150" s="94"/>
      <c r="F150" s="94"/>
      <c r="G150" s="94"/>
    </row>
    <row r="151" spans="1:7" ht="15">
      <c r="A151" s="49" t="s">
        <v>195</v>
      </c>
      <c r="B151" s="95" t="s">
        <v>259</v>
      </c>
      <c r="C151" s="95"/>
      <c r="D151" s="95"/>
      <c r="E151" s="95"/>
      <c r="F151" s="95"/>
      <c r="G151" s="95"/>
    </row>
    <row r="152" spans="1:7" ht="15">
      <c r="A152" s="90" t="s">
        <v>1312</v>
      </c>
      <c r="B152" s="90"/>
      <c r="C152" s="90"/>
      <c r="D152" s="90"/>
      <c r="E152" s="90"/>
      <c r="F152" s="90"/>
      <c r="G152" s="90"/>
    </row>
    <row r="153" spans="1:7" ht="15">
      <c r="A153" s="49" t="s">
        <v>193</v>
      </c>
      <c r="B153" s="94" t="s">
        <v>1339</v>
      </c>
      <c r="C153" s="94"/>
      <c r="D153" s="94"/>
      <c r="E153" s="94"/>
      <c r="F153" s="94"/>
      <c r="G153" s="94"/>
    </row>
    <row r="154" spans="1:7" ht="31.5" customHeight="1">
      <c r="A154" s="49" t="s">
        <v>6</v>
      </c>
      <c r="B154" s="94" t="s">
        <v>1340</v>
      </c>
      <c r="C154" s="94"/>
      <c r="D154" s="94"/>
      <c r="E154" s="94"/>
      <c r="F154" s="94"/>
      <c r="G154" s="94"/>
    </row>
    <row r="155" spans="1:7" ht="15">
      <c r="A155" s="49" t="s">
        <v>195</v>
      </c>
      <c r="B155" s="95" t="s">
        <v>259</v>
      </c>
      <c r="C155" s="95"/>
      <c r="D155" s="95"/>
      <c r="E155" s="95"/>
      <c r="F155" s="95"/>
      <c r="G155" s="95"/>
    </row>
    <row r="156" spans="1:7" ht="15">
      <c r="A156" s="90" t="s">
        <v>1315</v>
      </c>
      <c r="B156" s="90"/>
      <c r="C156" s="90"/>
      <c r="D156" s="90"/>
      <c r="E156" s="90"/>
      <c r="F156" s="90"/>
      <c r="G156" s="90"/>
    </row>
    <row r="157" spans="1:7" ht="15">
      <c r="A157" s="49" t="s">
        <v>193</v>
      </c>
      <c r="B157" s="94" t="s">
        <v>1351</v>
      </c>
      <c r="C157" s="94"/>
      <c r="D157" s="94"/>
      <c r="E157" s="94"/>
      <c r="F157" s="94"/>
      <c r="G157" s="94"/>
    </row>
    <row r="158" spans="1:7" ht="31.5" customHeight="1">
      <c r="A158" s="49" t="s">
        <v>6</v>
      </c>
      <c r="B158" s="94" t="s">
        <v>1352</v>
      </c>
      <c r="C158" s="94"/>
      <c r="D158" s="94"/>
      <c r="E158" s="94"/>
      <c r="F158" s="94"/>
      <c r="G158" s="94"/>
    </row>
    <row r="159" spans="1:7" ht="15">
      <c r="A159" s="49" t="s">
        <v>195</v>
      </c>
      <c r="B159" s="95"/>
      <c r="C159" s="95"/>
      <c r="D159" s="95"/>
      <c r="E159" s="95"/>
      <c r="F159" s="95"/>
      <c r="G159" s="95"/>
    </row>
    <row r="160" spans="1:7" ht="15">
      <c r="A160" s="90" t="s">
        <v>1318</v>
      </c>
      <c r="B160" s="90"/>
      <c r="C160" s="90"/>
      <c r="D160" s="90"/>
      <c r="E160" s="90"/>
      <c r="F160" s="90"/>
      <c r="G160" s="90"/>
    </row>
    <row r="161" spans="1:7" ht="31.5" customHeight="1">
      <c r="A161" s="49" t="s">
        <v>193</v>
      </c>
      <c r="B161" s="94" t="s">
        <v>1353</v>
      </c>
      <c r="C161" s="94"/>
      <c r="D161" s="94"/>
      <c r="E161" s="94"/>
      <c r="F161" s="94"/>
      <c r="G161" s="94"/>
    </row>
    <row r="162" spans="1:7" ht="31.5" customHeight="1">
      <c r="A162" s="49" t="s">
        <v>6</v>
      </c>
      <c r="B162" s="94" t="s">
        <v>1354</v>
      </c>
      <c r="C162" s="94"/>
      <c r="D162" s="94"/>
      <c r="E162" s="94"/>
      <c r="F162" s="94"/>
      <c r="G162" s="94"/>
    </row>
    <row r="163" spans="1:7" ht="15">
      <c r="A163" s="49" t="s">
        <v>195</v>
      </c>
      <c r="B163" s="95"/>
      <c r="C163" s="95"/>
      <c r="D163" s="95"/>
      <c r="E163" s="95"/>
      <c r="F163" s="95"/>
      <c r="G163" s="95"/>
    </row>
    <row r="164" spans="1:7" ht="15">
      <c r="A164" s="90" t="s">
        <v>1321</v>
      </c>
      <c r="B164" s="90"/>
      <c r="C164" s="90"/>
      <c r="D164" s="90"/>
      <c r="E164" s="90"/>
      <c r="F164" s="90"/>
      <c r="G164" s="90"/>
    </row>
    <row r="165" spans="1:7" ht="15">
      <c r="A165" s="49" t="s">
        <v>193</v>
      </c>
      <c r="B165" s="94" t="s">
        <v>1355</v>
      </c>
      <c r="C165" s="94"/>
      <c r="D165" s="94"/>
      <c r="E165" s="94"/>
      <c r="F165" s="94"/>
      <c r="G165" s="94"/>
    </row>
    <row r="166" spans="1:7" ht="31.5" customHeight="1">
      <c r="A166" s="49" t="s">
        <v>6</v>
      </c>
      <c r="B166" s="94" t="s">
        <v>1356</v>
      </c>
      <c r="C166" s="94"/>
      <c r="D166" s="94"/>
      <c r="E166" s="94"/>
      <c r="F166" s="94"/>
      <c r="G166" s="94"/>
    </row>
    <row r="167" spans="1:7" ht="15">
      <c r="A167" s="49" t="s">
        <v>195</v>
      </c>
      <c r="B167" s="95"/>
      <c r="C167" s="95"/>
      <c r="D167" s="95"/>
      <c r="E167" s="95"/>
      <c r="F167" s="95"/>
      <c r="G167" s="95"/>
    </row>
    <row r="168" spans="1:7" ht="15">
      <c r="A168" s="90" t="s">
        <v>1324</v>
      </c>
      <c r="B168" s="90"/>
      <c r="C168" s="90"/>
      <c r="D168" s="90"/>
      <c r="E168" s="90"/>
      <c r="F168" s="90"/>
      <c r="G168" s="90"/>
    </row>
    <row r="169" spans="1:7" ht="15">
      <c r="A169" s="49" t="s">
        <v>193</v>
      </c>
      <c r="B169" s="94" t="s">
        <v>1357</v>
      </c>
      <c r="C169" s="94"/>
      <c r="D169" s="94"/>
      <c r="E169" s="94"/>
      <c r="F169" s="94"/>
      <c r="G169" s="94"/>
    </row>
    <row r="170" spans="1:7" ht="15">
      <c r="A170" s="49" t="s">
        <v>6</v>
      </c>
      <c r="B170" s="94" t="s">
        <v>1358</v>
      </c>
      <c r="C170" s="94"/>
      <c r="D170" s="94"/>
      <c r="E170" s="94"/>
      <c r="F170" s="94"/>
      <c r="G170" s="94"/>
    </row>
    <row r="171" spans="1:7" ht="15">
      <c r="A171" s="49" t="s">
        <v>195</v>
      </c>
      <c r="B171" s="95"/>
      <c r="C171" s="95"/>
      <c r="D171" s="95"/>
      <c r="E171" s="95"/>
      <c r="F171" s="95"/>
      <c r="G171" s="95"/>
    </row>
    <row r="172" spans="1:7" ht="15">
      <c r="A172" s="90" t="s">
        <v>1327</v>
      </c>
      <c r="B172" s="90"/>
      <c r="C172" s="90"/>
      <c r="D172" s="90"/>
      <c r="E172" s="90"/>
      <c r="F172" s="90"/>
      <c r="G172" s="90"/>
    </row>
    <row r="173" spans="1:7" ht="38.25" customHeight="1">
      <c r="A173" s="68" t="s">
        <v>193</v>
      </c>
      <c r="B173" s="94" t="s">
        <v>1359</v>
      </c>
      <c r="C173" s="94"/>
      <c r="D173" s="94"/>
      <c r="E173" s="94"/>
      <c r="F173" s="94"/>
      <c r="G173" s="94"/>
    </row>
    <row r="174" spans="1:7" ht="15">
      <c r="A174" s="68" t="s">
        <v>6</v>
      </c>
      <c r="B174" s="94" t="s">
        <v>1370</v>
      </c>
      <c r="C174" s="94"/>
      <c r="D174" s="94"/>
      <c r="E174" s="94"/>
      <c r="F174" s="94"/>
      <c r="G174" s="94"/>
    </row>
    <row r="175" spans="1:7" ht="15">
      <c r="A175" s="68" t="s">
        <v>195</v>
      </c>
      <c r="B175" s="95"/>
      <c r="C175" s="95"/>
      <c r="D175" s="95"/>
      <c r="E175" s="95"/>
      <c r="F175" s="95"/>
      <c r="G175" s="95"/>
    </row>
    <row r="176" spans="1:7" ht="15">
      <c r="A176" s="90" t="s">
        <v>1360</v>
      </c>
      <c r="B176" s="90"/>
      <c r="C176" s="90"/>
      <c r="D176" s="90"/>
      <c r="E176" s="90"/>
      <c r="F176" s="90"/>
      <c r="G176" s="90"/>
    </row>
    <row r="177" spans="1:7" ht="45.75" customHeight="1">
      <c r="A177" s="49" t="s">
        <v>193</v>
      </c>
      <c r="B177" s="94" t="s">
        <v>1361</v>
      </c>
      <c r="C177" s="94"/>
      <c r="D177" s="94"/>
      <c r="E177" s="94"/>
      <c r="F177" s="94"/>
      <c r="G177" s="94"/>
    </row>
    <row r="178" spans="1:7" ht="45.75" customHeight="1">
      <c r="A178" s="49" t="s">
        <v>6</v>
      </c>
      <c r="B178" s="94" t="s">
        <v>1361</v>
      </c>
      <c r="C178" s="94"/>
      <c r="D178" s="94"/>
      <c r="E178" s="94"/>
      <c r="F178" s="94"/>
      <c r="G178" s="94"/>
    </row>
    <row r="179" spans="1:7" ht="45.75" customHeight="1">
      <c r="A179" s="49" t="s">
        <v>195</v>
      </c>
      <c r="B179" s="95" t="s">
        <v>1361</v>
      </c>
      <c r="C179" s="95"/>
      <c r="D179" s="95"/>
      <c r="E179" s="95"/>
      <c r="F179" s="95"/>
      <c r="G179" s="95"/>
    </row>
    <row r="180" spans="1:7" ht="15">
      <c r="A180" s="90" t="s">
        <v>1330</v>
      </c>
      <c r="B180" s="90"/>
      <c r="C180" s="90"/>
      <c r="D180" s="90"/>
      <c r="E180" s="90"/>
      <c r="F180" s="90"/>
      <c r="G180" s="90"/>
    </row>
    <row r="181" spans="1:7" ht="45" customHeight="1">
      <c r="A181" s="49" t="s">
        <v>193</v>
      </c>
      <c r="B181" s="94" t="s">
        <v>1362</v>
      </c>
      <c r="C181" s="94"/>
      <c r="D181" s="94"/>
      <c r="E181" s="94"/>
      <c r="F181" s="94"/>
      <c r="G181" s="94"/>
    </row>
    <row r="182" spans="1:7" ht="15">
      <c r="A182" s="49" t="s">
        <v>6</v>
      </c>
      <c r="B182" s="94" t="s">
        <v>1363</v>
      </c>
      <c r="C182" s="94"/>
      <c r="D182" s="94"/>
      <c r="E182" s="94"/>
      <c r="F182" s="94"/>
      <c r="G182" s="94"/>
    </row>
    <row r="183" spans="1:7" ht="15">
      <c r="A183" s="49" t="s">
        <v>195</v>
      </c>
      <c r="B183" s="95"/>
      <c r="C183" s="95"/>
      <c r="D183" s="95"/>
      <c r="E183" s="95"/>
      <c r="F183" s="95"/>
      <c r="G183" s="95"/>
    </row>
    <row r="184" spans="1:7" ht="15">
      <c r="A184" s="92"/>
      <c r="B184" s="92"/>
      <c r="C184" s="92"/>
      <c r="D184" s="92"/>
      <c r="E184" s="92"/>
      <c r="F184" s="92"/>
      <c r="G184" s="92"/>
    </row>
    <row r="185" spans="1:7" ht="15">
      <c r="A185" s="96" t="s">
        <v>226</v>
      </c>
      <c r="B185" s="96"/>
      <c r="C185" s="96"/>
      <c r="D185" s="96"/>
      <c r="E185" s="96"/>
      <c r="F185" s="96"/>
      <c r="G185" s="96"/>
    </row>
    <row r="186" spans="1:7" ht="15">
      <c r="A186" s="90" t="s">
        <v>1279</v>
      </c>
      <c r="B186" s="90"/>
      <c r="C186" s="90"/>
      <c r="D186" s="90"/>
      <c r="E186" s="90"/>
      <c r="F186" s="90"/>
      <c r="G186" s="90"/>
    </row>
    <row r="187" spans="1:7" ht="15">
      <c r="A187" s="49" t="s">
        <v>227</v>
      </c>
      <c r="B187" s="91"/>
      <c r="C187" s="91"/>
      <c r="D187" s="91"/>
      <c r="E187" s="91"/>
      <c r="F187" s="91"/>
      <c r="G187" s="91"/>
    </row>
    <row r="188" spans="1:7" ht="15">
      <c r="A188" s="90" t="s">
        <v>1282</v>
      </c>
      <c r="B188" s="90"/>
      <c r="C188" s="90"/>
      <c r="D188" s="90"/>
      <c r="E188" s="90"/>
      <c r="F188" s="90"/>
      <c r="G188" s="90"/>
    </row>
    <row r="189" spans="1:7" ht="15">
      <c r="A189" s="49" t="s">
        <v>227</v>
      </c>
      <c r="B189" s="91"/>
      <c r="C189" s="91"/>
      <c r="D189" s="91"/>
      <c r="E189" s="91"/>
      <c r="F189" s="91"/>
      <c r="G189" s="91"/>
    </row>
    <row r="190" spans="1:7" ht="15">
      <c r="A190" s="90" t="s">
        <v>1285</v>
      </c>
      <c r="B190" s="90"/>
      <c r="C190" s="90"/>
      <c r="D190" s="90"/>
      <c r="E190" s="90"/>
      <c r="F190" s="90"/>
      <c r="G190" s="90"/>
    </row>
    <row r="191" spans="1:7" ht="15">
      <c r="A191" s="49" t="s">
        <v>227</v>
      </c>
      <c r="B191" s="91"/>
      <c r="C191" s="91"/>
      <c r="D191" s="91"/>
      <c r="E191" s="91"/>
      <c r="F191" s="91"/>
      <c r="G191" s="91"/>
    </row>
    <row r="192" spans="1:7" ht="15">
      <c r="A192" s="90" t="s">
        <v>1288</v>
      </c>
      <c r="B192" s="90"/>
      <c r="C192" s="90"/>
      <c r="D192" s="90"/>
      <c r="E192" s="90"/>
      <c r="F192" s="90"/>
      <c r="G192" s="90"/>
    </row>
    <row r="193" spans="1:7" ht="15">
      <c r="A193" s="49" t="s">
        <v>227</v>
      </c>
      <c r="B193" s="91"/>
      <c r="C193" s="91"/>
      <c r="D193" s="91"/>
      <c r="E193" s="91"/>
      <c r="F193" s="91"/>
      <c r="G193" s="91"/>
    </row>
    <row r="194" spans="1:7" ht="15">
      <c r="A194" s="90" t="s">
        <v>1291</v>
      </c>
      <c r="B194" s="90"/>
      <c r="C194" s="90"/>
      <c r="D194" s="90"/>
      <c r="E194" s="90"/>
      <c r="F194" s="90"/>
      <c r="G194" s="90"/>
    </row>
    <row r="195" spans="1:7" ht="15">
      <c r="A195" s="49" t="s">
        <v>227</v>
      </c>
      <c r="B195" s="91"/>
      <c r="C195" s="91"/>
      <c r="D195" s="91"/>
      <c r="E195" s="91"/>
      <c r="F195" s="91"/>
      <c r="G195" s="91"/>
    </row>
    <row r="196" spans="1:7" ht="15">
      <c r="A196" s="90" t="s">
        <v>1294</v>
      </c>
      <c r="B196" s="90"/>
      <c r="C196" s="90"/>
      <c r="D196" s="90"/>
      <c r="E196" s="90"/>
      <c r="F196" s="90"/>
      <c r="G196" s="90"/>
    </row>
    <row r="197" spans="1:7" ht="15">
      <c r="A197" s="49" t="s">
        <v>227</v>
      </c>
      <c r="B197" s="91"/>
      <c r="C197" s="91"/>
      <c r="D197" s="91"/>
      <c r="E197" s="91"/>
      <c r="F197" s="91"/>
      <c r="G197" s="91"/>
    </row>
    <row r="198" spans="1:7" ht="15">
      <c r="A198" s="90" t="s">
        <v>1297</v>
      </c>
      <c r="B198" s="90"/>
      <c r="C198" s="90"/>
      <c r="D198" s="90"/>
      <c r="E198" s="90"/>
      <c r="F198" s="90"/>
      <c r="G198" s="90"/>
    </row>
    <row r="199" spans="1:7" ht="15">
      <c r="A199" s="49" t="s">
        <v>227</v>
      </c>
      <c r="B199" s="91"/>
      <c r="C199" s="91"/>
      <c r="D199" s="91"/>
      <c r="E199" s="91"/>
      <c r="F199" s="91"/>
      <c r="G199" s="91"/>
    </row>
    <row r="200" spans="1:7" ht="15">
      <c r="A200" s="90" t="s">
        <v>1300</v>
      </c>
      <c r="B200" s="90"/>
      <c r="C200" s="90"/>
      <c r="D200" s="90"/>
      <c r="E200" s="90"/>
      <c r="F200" s="90"/>
      <c r="G200" s="90"/>
    </row>
    <row r="201" spans="1:7" ht="15">
      <c r="A201" s="49" t="s">
        <v>227</v>
      </c>
      <c r="B201" s="91"/>
      <c r="C201" s="91"/>
      <c r="D201" s="91"/>
      <c r="E201" s="91"/>
      <c r="F201" s="91"/>
      <c r="G201" s="91"/>
    </row>
    <row r="202" spans="1:7" ht="15">
      <c r="A202" s="90" t="s">
        <v>1303</v>
      </c>
      <c r="B202" s="90"/>
      <c r="C202" s="90"/>
      <c r="D202" s="90"/>
      <c r="E202" s="90"/>
      <c r="F202" s="90"/>
      <c r="G202" s="90"/>
    </row>
    <row r="203" spans="1:7" ht="15">
      <c r="A203" s="49" t="s">
        <v>227</v>
      </c>
      <c r="B203" s="91"/>
      <c r="C203" s="91"/>
      <c r="D203" s="91"/>
      <c r="E203" s="91"/>
      <c r="F203" s="91"/>
      <c r="G203" s="91"/>
    </row>
    <row r="204" spans="1:7" ht="15">
      <c r="A204" s="90" t="s">
        <v>1306</v>
      </c>
      <c r="B204" s="90"/>
      <c r="C204" s="90"/>
      <c r="D204" s="90"/>
      <c r="E204" s="90"/>
      <c r="F204" s="90"/>
      <c r="G204" s="90"/>
    </row>
    <row r="205" spans="1:7" ht="15">
      <c r="A205" s="49" t="s">
        <v>227</v>
      </c>
      <c r="B205" s="91"/>
      <c r="C205" s="91"/>
      <c r="D205" s="91"/>
      <c r="E205" s="91"/>
      <c r="F205" s="91"/>
      <c r="G205" s="91"/>
    </row>
    <row r="206" spans="1:7" ht="15">
      <c r="A206" s="90" t="s">
        <v>1309</v>
      </c>
      <c r="B206" s="90"/>
      <c r="C206" s="90"/>
      <c r="D206" s="90"/>
      <c r="E206" s="90"/>
      <c r="F206" s="90"/>
      <c r="G206" s="90"/>
    </row>
    <row r="207" spans="1:7" ht="49.5" customHeight="1">
      <c r="A207" s="49" t="s">
        <v>227</v>
      </c>
      <c r="B207" s="91" t="s">
        <v>1364</v>
      </c>
      <c r="C207" s="91"/>
      <c r="D207" s="91"/>
      <c r="E207" s="91"/>
      <c r="F207" s="91"/>
      <c r="G207" s="91"/>
    </row>
    <row r="208" spans="1:7" ht="15">
      <c r="A208" s="90" t="s">
        <v>1312</v>
      </c>
      <c r="B208" s="90"/>
      <c r="C208" s="90"/>
      <c r="D208" s="90"/>
      <c r="E208" s="90"/>
      <c r="F208" s="90"/>
      <c r="G208" s="90"/>
    </row>
    <row r="209" spans="1:7" ht="15">
      <c r="A209" s="49" t="s">
        <v>227</v>
      </c>
      <c r="B209" s="91"/>
      <c r="C209" s="91"/>
      <c r="D209" s="91"/>
      <c r="E209" s="91"/>
      <c r="F209" s="91"/>
      <c r="G209" s="91"/>
    </row>
    <row r="210" spans="1:7" ht="15">
      <c r="A210" s="90" t="s">
        <v>1315</v>
      </c>
      <c r="B210" s="90"/>
      <c r="C210" s="90"/>
      <c r="D210" s="90"/>
      <c r="E210" s="90"/>
      <c r="F210" s="90"/>
      <c r="G210" s="90"/>
    </row>
    <row r="211" spans="1:7" ht="15">
      <c r="A211" s="49" t="s">
        <v>227</v>
      </c>
      <c r="B211" s="91"/>
      <c r="C211" s="91"/>
      <c r="D211" s="91"/>
      <c r="E211" s="91"/>
      <c r="F211" s="91"/>
      <c r="G211" s="91"/>
    </row>
    <row r="212" spans="1:7" ht="15">
      <c r="A212" s="90" t="s">
        <v>1318</v>
      </c>
      <c r="B212" s="90"/>
      <c r="C212" s="90"/>
      <c r="D212" s="90"/>
      <c r="E212" s="90"/>
      <c r="F212" s="90"/>
      <c r="G212" s="90"/>
    </row>
    <row r="213" spans="1:7" ht="15">
      <c r="A213" s="49" t="s">
        <v>227</v>
      </c>
      <c r="B213" s="91"/>
      <c r="C213" s="91"/>
      <c r="D213" s="91"/>
      <c r="E213" s="91"/>
      <c r="F213" s="91"/>
      <c r="G213" s="91"/>
    </row>
    <row r="214" spans="1:7" ht="15">
      <c r="A214" s="90" t="s">
        <v>1321</v>
      </c>
      <c r="B214" s="90"/>
      <c r="C214" s="90"/>
      <c r="D214" s="90"/>
      <c r="E214" s="90"/>
      <c r="F214" s="90"/>
      <c r="G214" s="90"/>
    </row>
    <row r="215" spans="1:7" ht="15">
      <c r="A215" s="49" t="s">
        <v>227</v>
      </c>
      <c r="B215" s="91"/>
      <c r="C215" s="91"/>
      <c r="D215" s="91"/>
      <c r="E215" s="91"/>
      <c r="F215" s="91"/>
      <c r="G215" s="91"/>
    </row>
    <row r="216" spans="1:7" ht="15">
      <c r="A216" s="90" t="s">
        <v>1324</v>
      </c>
      <c r="B216" s="90"/>
      <c r="C216" s="90"/>
      <c r="D216" s="90"/>
      <c r="E216" s="90"/>
      <c r="F216" s="90"/>
      <c r="G216" s="90"/>
    </row>
    <row r="217" spans="1:7" ht="15">
      <c r="A217" s="49" t="s">
        <v>227</v>
      </c>
      <c r="B217" s="91"/>
      <c r="C217" s="91"/>
      <c r="D217" s="91"/>
      <c r="E217" s="91"/>
      <c r="F217" s="91"/>
      <c r="G217" s="91"/>
    </row>
    <row r="218" spans="1:7" ht="15">
      <c r="A218" s="90" t="s">
        <v>1327</v>
      </c>
      <c r="B218" s="90"/>
      <c r="C218" s="90"/>
      <c r="D218" s="90"/>
      <c r="E218" s="90"/>
      <c r="F218" s="90"/>
      <c r="G218" s="90"/>
    </row>
    <row r="219" spans="1:7" ht="15">
      <c r="A219" s="49" t="s">
        <v>227</v>
      </c>
      <c r="B219" s="91"/>
      <c r="C219" s="91"/>
      <c r="D219" s="91"/>
      <c r="E219" s="91"/>
      <c r="F219" s="91"/>
      <c r="G219" s="91"/>
    </row>
    <row r="220" spans="1:7" ht="15">
      <c r="A220" s="90" t="s">
        <v>1360</v>
      </c>
      <c r="B220" s="90"/>
      <c r="C220" s="90"/>
      <c r="D220" s="90"/>
      <c r="E220" s="90"/>
      <c r="F220" s="90"/>
      <c r="G220" s="90"/>
    </row>
    <row r="221" spans="1:7" ht="45.75" customHeight="1">
      <c r="A221" s="49" t="s">
        <v>227</v>
      </c>
      <c r="B221" s="91" t="s">
        <v>1365</v>
      </c>
      <c r="C221" s="91"/>
      <c r="D221" s="91"/>
      <c r="E221" s="91"/>
      <c r="F221" s="91"/>
      <c r="G221" s="91"/>
    </row>
    <row r="222" spans="1:7" ht="15">
      <c r="A222" s="90" t="s">
        <v>1330</v>
      </c>
      <c r="B222" s="90"/>
      <c r="C222" s="90"/>
      <c r="D222" s="90"/>
      <c r="E222" s="90"/>
      <c r="F222" s="90"/>
      <c r="G222" s="90"/>
    </row>
    <row r="223" spans="1:7" ht="15">
      <c r="A223" s="49" t="s">
        <v>227</v>
      </c>
      <c r="B223" s="91"/>
      <c r="C223" s="91"/>
      <c r="D223" s="91"/>
      <c r="E223" s="91"/>
      <c r="F223" s="91"/>
      <c r="G223" s="91"/>
    </row>
    <row r="224" spans="1:7" ht="15">
      <c r="A224" s="92"/>
      <c r="B224" s="92"/>
      <c r="C224" s="92"/>
      <c r="D224" s="92"/>
      <c r="E224" s="92"/>
      <c r="F224" s="92"/>
      <c r="G224" s="92"/>
    </row>
    <row r="225" spans="1:7" ht="31.5" customHeight="1">
      <c r="A225" s="93" t="s">
        <v>229</v>
      </c>
      <c r="B225" s="93"/>
      <c r="C225" s="93"/>
      <c r="D225" s="93"/>
      <c r="E225" s="93"/>
      <c r="F225" s="93"/>
      <c r="G225" s="93"/>
    </row>
  </sheetData>
  <sheetProtection/>
  <mergeCells count="344">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A185:G185"/>
    <mergeCell ref="A186:G186"/>
    <mergeCell ref="B187:G187"/>
    <mergeCell ref="A188:G188"/>
    <mergeCell ref="B189:G189"/>
    <mergeCell ref="A190:G190"/>
    <mergeCell ref="B191:G191"/>
    <mergeCell ref="A192:G192"/>
    <mergeCell ref="B193:G193"/>
    <mergeCell ref="A194:G194"/>
    <mergeCell ref="B195:G195"/>
    <mergeCell ref="A196:G196"/>
    <mergeCell ref="B197:G197"/>
    <mergeCell ref="A198:G198"/>
    <mergeCell ref="B199:G199"/>
    <mergeCell ref="A200:G200"/>
    <mergeCell ref="B201:G201"/>
    <mergeCell ref="A202:G202"/>
    <mergeCell ref="B203:G203"/>
    <mergeCell ref="A204:G204"/>
    <mergeCell ref="B205:G205"/>
    <mergeCell ref="A206:G206"/>
    <mergeCell ref="B207:G207"/>
    <mergeCell ref="A208:G208"/>
    <mergeCell ref="B209:G209"/>
    <mergeCell ref="A210:G210"/>
    <mergeCell ref="B211:G211"/>
    <mergeCell ref="A212:G212"/>
    <mergeCell ref="B213:G213"/>
    <mergeCell ref="A214:G214"/>
    <mergeCell ref="B215:G215"/>
    <mergeCell ref="A222:G222"/>
    <mergeCell ref="B223:G223"/>
    <mergeCell ref="A224:G224"/>
    <mergeCell ref="A225:G225"/>
    <mergeCell ref="A216:G216"/>
    <mergeCell ref="B217:G217"/>
    <mergeCell ref="A218:G218"/>
    <mergeCell ref="B219:G219"/>
    <mergeCell ref="A220:G220"/>
    <mergeCell ref="B221:G221"/>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5" manualBreakCount="5">
    <brk id="48" max="255" man="1"/>
    <brk id="82" max="255" man="1"/>
    <brk id="115" max="255" man="1"/>
    <brk id="147" max="255" man="1"/>
    <brk id="189" max="255" man="1"/>
  </rowBreaks>
</worksheet>
</file>

<file path=xl/worksheets/sheet30.xml><?xml version="1.0" encoding="utf-8"?>
<worksheet xmlns="http://schemas.openxmlformats.org/spreadsheetml/2006/main" xmlns:r="http://schemas.openxmlformats.org/officeDocument/2006/relationships">
  <sheetPr>
    <tabColor rgb="FF00853F"/>
  </sheetPr>
  <dimension ref="A2:G26"/>
  <sheetViews>
    <sheetView showGridLines="0" tabSelected="1" zoomScalePageLayoutView="0" workbookViewId="0" topLeftCell="A1">
      <selection activeCell="A29" sqref="A29:A30"/>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78" t="s">
        <v>0</v>
      </c>
      <c r="B2" s="79"/>
      <c r="C2" s="82" t="s">
        <v>81</v>
      </c>
      <c r="D2" s="82"/>
      <c r="E2" s="82"/>
    </row>
    <row r="3" spans="1:5" ht="25.5" customHeight="1" thickBot="1">
      <c r="A3" s="80"/>
      <c r="B3" s="81"/>
      <c r="C3" s="83"/>
      <c r="D3" s="83"/>
      <c r="E3" s="83"/>
    </row>
    <row r="4" ht="15.75" thickTop="1"/>
    <row r="8" spans="1:5" ht="15">
      <c r="A8" s="212" t="s">
        <v>32</v>
      </c>
      <c r="B8" s="212"/>
      <c r="C8" s="212"/>
      <c r="D8" s="212"/>
      <c r="E8" s="212"/>
    </row>
    <row r="9" spans="1:5" ht="15">
      <c r="A9" s="212"/>
      <c r="B9" s="212"/>
      <c r="C9" s="212"/>
      <c r="D9" s="212"/>
      <c r="E9" s="212"/>
    </row>
    <row r="10" spans="1:5" ht="15">
      <c r="A10" s="212" t="s">
        <v>38</v>
      </c>
      <c r="B10" s="212"/>
      <c r="C10" s="212"/>
      <c r="D10" s="212"/>
      <c r="E10" s="212"/>
    </row>
    <row r="11" spans="1:5" ht="15">
      <c r="A11" s="212"/>
      <c r="B11" s="212"/>
      <c r="C11" s="212"/>
      <c r="D11" s="212"/>
      <c r="E11" s="212"/>
    </row>
    <row r="12" spans="1:5" ht="15">
      <c r="A12" s="212"/>
      <c r="B12" s="212"/>
      <c r="C12" s="212"/>
      <c r="D12" s="212"/>
      <c r="E12" s="212"/>
    </row>
    <row r="13" spans="1:5" ht="27.75">
      <c r="A13" s="194"/>
      <c r="B13" s="194"/>
      <c r="C13" s="194"/>
      <c r="D13" s="194"/>
      <c r="E13" s="194"/>
    </row>
    <row r="14" spans="1:7" s="2" customFormat="1" ht="19.5">
      <c r="A14"/>
      <c r="B14" s="1" t="s">
        <v>1</v>
      </c>
      <c r="C14" s="1" t="s">
        <v>9</v>
      </c>
      <c r="D14" s="1" t="s">
        <v>10</v>
      </c>
      <c r="G14" s="3"/>
    </row>
    <row r="15" spans="1:7" s="2" customFormat="1" ht="19.5">
      <c r="A15"/>
      <c r="B15" s="1" t="s">
        <v>2</v>
      </c>
      <c r="C15" s="1" t="s">
        <v>2</v>
      </c>
      <c r="D15" s="1" t="s">
        <v>11</v>
      </c>
      <c r="G15" s="3"/>
    </row>
    <row r="16" spans="1:7" s="2" customFormat="1" ht="19.5">
      <c r="A16"/>
      <c r="B16" s="1"/>
      <c r="C16" s="1"/>
      <c r="D16" s="1"/>
      <c r="G16" s="3"/>
    </row>
    <row r="17" spans="1:7" s="2" customFormat="1" ht="21">
      <c r="A17" s="4" t="s">
        <v>3</v>
      </c>
      <c r="B17" s="5">
        <v>106.878767</v>
      </c>
      <c r="C17" s="5">
        <v>91.06428038</v>
      </c>
      <c r="D17" s="6">
        <f>(C17)/B17</f>
        <v>0.8520334107147775</v>
      </c>
      <c r="G17" s="3"/>
    </row>
    <row r="18" spans="1:7" s="2" customFormat="1" ht="21">
      <c r="A18" s="4" t="s">
        <v>4</v>
      </c>
      <c r="B18" s="5">
        <v>91.06428038</v>
      </c>
      <c r="C18" s="5">
        <v>91.06428038</v>
      </c>
      <c r="D18" s="6">
        <f>(C18)/B18</f>
        <v>1</v>
      </c>
      <c r="G18" s="3"/>
    </row>
    <row r="19" spans="2:4" ht="15">
      <c r="B19" s="7"/>
      <c r="C19" s="7"/>
      <c r="D19" s="7"/>
    </row>
    <row r="21" spans="1:5" ht="63.75" customHeight="1">
      <c r="A21" s="89" t="s">
        <v>79</v>
      </c>
      <c r="B21" s="89"/>
      <c r="C21" s="89"/>
      <c r="D21" s="89"/>
      <c r="E21" s="89"/>
    </row>
    <row r="22" spans="1:5" ht="19.5">
      <c r="A22" s="87" t="s">
        <v>33</v>
      </c>
      <c r="B22" s="87"/>
      <c r="C22" s="87"/>
      <c r="D22" s="87"/>
      <c r="E22" s="87"/>
    </row>
    <row r="23" spans="1:5" ht="19.5">
      <c r="A23" s="89"/>
      <c r="B23" s="89"/>
      <c r="C23" s="89"/>
      <c r="D23" s="89"/>
      <c r="E23" s="89"/>
    </row>
    <row r="24" spans="1:5" ht="19.5">
      <c r="A24" s="89"/>
      <c r="B24" s="89"/>
      <c r="C24" s="89"/>
      <c r="D24" s="89"/>
      <c r="E24" s="89"/>
    </row>
    <row r="25" spans="1:5" ht="19.5">
      <c r="A25" s="8"/>
      <c r="B25" s="8"/>
      <c r="C25" s="8"/>
      <c r="D25" s="8"/>
      <c r="E25" s="8"/>
    </row>
    <row r="26" spans="1:6" ht="19.5">
      <c r="A26" s="224"/>
      <c r="B26" s="224"/>
      <c r="C26" s="224"/>
      <c r="D26" s="224"/>
      <c r="E26" s="224"/>
      <c r="F26" s="224"/>
    </row>
  </sheetData>
  <sheetProtection/>
  <mergeCells count="10">
    <mergeCell ref="A22:E22"/>
    <mergeCell ref="A23:E23"/>
    <mergeCell ref="A24:E24"/>
    <mergeCell ref="A26:F26"/>
    <mergeCell ref="A2:B3"/>
    <mergeCell ref="C2:E3"/>
    <mergeCell ref="A8:E9"/>
    <mergeCell ref="A10:E12"/>
    <mergeCell ref="A13:E13"/>
    <mergeCell ref="A21:E21"/>
  </mergeCells>
  <hyperlinks>
    <hyperlink ref="A22:E22" location="DGA!A1" display="Dirección General de Administración"/>
  </hyperlinks>
  <printOptions horizontalCentered="1"/>
  <pageMargins left="0.7480314960629921" right="0.7480314960629921" top="0.984251968503937" bottom="0.984251968503937" header="0.5118110236220472" footer="0.5118110236220472"/>
  <pageSetup horizontalDpi="600" verticalDpi="600" orientation="landscape" scale="63" r:id="rId1"/>
</worksheet>
</file>

<file path=xl/worksheets/sheet31.xml><?xml version="1.0" encoding="utf-8"?>
<worksheet xmlns="http://schemas.openxmlformats.org/spreadsheetml/2006/main" xmlns:r="http://schemas.openxmlformats.org/officeDocument/2006/relationships">
  <dimension ref="A1:G105"/>
  <sheetViews>
    <sheetView showGridLines="0" tabSelected="1" view="pageBreakPreview" zoomScale="70" zoomScaleSheetLayoutView="70" zoomScalePageLayoutView="0" workbookViewId="0" topLeftCell="A94">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50"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 customHeight="1">
      <c r="A4" s="107" t="s">
        <v>83</v>
      </c>
      <c r="B4" s="108"/>
      <c r="C4" s="108"/>
      <c r="D4" s="108"/>
      <c r="E4" s="108"/>
      <c r="F4" s="108"/>
      <c r="G4" s="109"/>
    </row>
    <row r="5" spans="1:7" ht="15.75">
      <c r="A5" s="137" t="s">
        <v>84</v>
      </c>
      <c r="B5" s="138"/>
      <c r="C5" s="139"/>
      <c r="D5" s="140" t="s">
        <v>233</v>
      </c>
      <c r="E5" s="141"/>
      <c r="F5" s="141"/>
      <c r="G5" s="142"/>
    </row>
    <row r="6" spans="1:7" ht="15.75">
      <c r="A6" s="137" t="s">
        <v>86</v>
      </c>
      <c r="B6" s="138"/>
      <c r="C6" s="139"/>
      <c r="D6" s="140" t="s">
        <v>87</v>
      </c>
      <c r="E6" s="141"/>
      <c r="F6" s="141"/>
      <c r="G6" s="142"/>
    </row>
    <row r="7" spans="1:7" ht="15.75">
      <c r="A7" s="137" t="s">
        <v>88</v>
      </c>
      <c r="B7" s="138"/>
      <c r="C7" s="139"/>
      <c r="D7" s="140" t="s">
        <v>40</v>
      </c>
      <c r="E7" s="141"/>
      <c r="F7" s="141"/>
      <c r="G7" s="142"/>
    </row>
    <row r="8" spans="1:7" ht="15.75">
      <c r="A8" s="137" t="s">
        <v>90</v>
      </c>
      <c r="B8" s="138"/>
      <c r="C8" s="139"/>
      <c r="D8" s="140" t="s">
        <v>234</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v>
      </c>
      <c r="B13" s="166"/>
      <c r="C13" s="166"/>
      <c r="D13" s="166"/>
      <c r="E13" s="166"/>
      <c r="F13" s="166"/>
      <c r="G13" s="167"/>
    </row>
    <row r="14" spans="1:7" ht="16.5">
      <c r="A14" s="39"/>
      <c r="B14" s="163" t="s">
        <v>98</v>
      </c>
      <c r="C14" s="163"/>
      <c r="D14" s="163"/>
      <c r="E14" s="163"/>
      <c r="F14" s="163"/>
      <c r="G14" s="164"/>
    </row>
    <row r="15" spans="1:7" ht="15.75">
      <c r="A15" s="40"/>
      <c r="B15" s="168" t="s">
        <v>99</v>
      </c>
      <c r="C15" s="168"/>
      <c r="D15" s="168"/>
      <c r="E15" s="168"/>
      <c r="F15" s="168"/>
      <c r="G15" s="169"/>
    </row>
    <row r="16" spans="1:7" ht="16.5" customHeight="1">
      <c r="A16" s="107" t="s">
        <v>100</v>
      </c>
      <c r="B16" s="108"/>
      <c r="C16" s="108"/>
      <c r="D16" s="108"/>
      <c r="E16" s="108"/>
      <c r="F16" s="108"/>
      <c r="G16" s="109"/>
    </row>
    <row r="17" spans="1:7" ht="16.5" customHeight="1">
      <c r="A17" s="110" t="s">
        <v>101</v>
      </c>
      <c r="B17" s="111"/>
      <c r="C17" s="112" t="s">
        <v>102</v>
      </c>
      <c r="D17" s="113"/>
      <c r="E17" s="113"/>
      <c r="F17" s="113"/>
      <c r="G17" s="114"/>
    </row>
    <row r="18" spans="1:7" ht="13.5" customHeight="1">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'M001'!B17</f>
        <v>106.878767</v>
      </c>
      <c r="F24" s="43">
        <f>'M001'!C17</f>
        <v>91.06428038</v>
      </c>
      <c r="G24" s="44">
        <f>F24/E24</f>
        <v>0.8520334107147775</v>
      </c>
    </row>
    <row r="25" spans="1:7" ht="15.75">
      <c r="A25" s="123" t="s">
        <v>114</v>
      </c>
      <c r="B25" s="124"/>
      <c r="C25" s="124"/>
      <c r="D25" s="125"/>
      <c r="E25" s="43">
        <f>'M001'!B18</f>
        <v>91.06428038</v>
      </c>
      <c r="F25" s="43">
        <f>'M001'!C18</f>
        <v>91.06428038</v>
      </c>
      <c r="G25" s="44">
        <f>F25/E25</f>
        <v>1</v>
      </c>
    </row>
    <row r="26" spans="1:7" ht="15.75">
      <c r="A26" s="107" t="s">
        <v>115</v>
      </c>
      <c r="B26" s="108"/>
      <c r="C26" s="108"/>
      <c r="D26" s="108"/>
      <c r="E26" s="108"/>
      <c r="F26" s="108"/>
      <c r="G26" s="109"/>
    </row>
    <row r="27" spans="1:7" ht="15.75">
      <c r="A27" s="107" t="s">
        <v>235</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2</v>
      </c>
    </row>
    <row r="30" spans="1:7" ht="15.75">
      <c r="A30" s="105"/>
      <c r="B30" s="105"/>
      <c r="C30" s="105"/>
      <c r="D30" s="105"/>
      <c r="E30" s="105"/>
      <c r="F30" s="45" t="s">
        <v>124</v>
      </c>
      <c r="G30" s="46">
        <v>3</v>
      </c>
    </row>
    <row r="31" spans="1:7" ht="54" customHeight="1">
      <c r="A31" s="100" t="s">
        <v>125</v>
      </c>
      <c r="B31" s="100" t="s">
        <v>236</v>
      </c>
      <c r="C31" s="100" t="s">
        <v>127</v>
      </c>
      <c r="D31" s="102" t="s">
        <v>149</v>
      </c>
      <c r="E31" s="102" t="s">
        <v>129</v>
      </c>
      <c r="F31" s="45" t="s">
        <v>130</v>
      </c>
      <c r="G31" s="47">
        <f>(4.78+4.17+4.25+1.78+2.85+1.5)/6</f>
        <v>3.2216666666666662</v>
      </c>
    </row>
    <row r="32" spans="1:7" ht="54" customHeight="1">
      <c r="A32" s="101"/>
      <c r="B32" s="101"/>
      <c r="C32" s="101"/>
      <c r="D32" s="103"/>
      <c r="E32" s="103"/>
      <c r="F32" s="45" t="s">
        <v>131</v>
      </c>
      <c r="G32" s="47">
        <v>107.38888888888887</v>
      </c>
    </row>
    <row r="33" spans="1:7" ht="15.75">
      <c r="A33" s="96" t="s">
        <v>237</v>
      </c>
      <c r="B33" s="96"/>
      <c r="C33" s="96"/>
      <c r="D33" s="96"/>
      <c r="E33" s="96"/>
      <c r="F33" s="96"/>
      <c r="G33" s="96"/>
    </row>
    <row r="34" spans="1:7" ht="15.75">
      <c r="A34" s="106" t="s">
        <v>117</v>
      </c>
      <c r="B34" s="106"/>
      <c r="C34" s="106"/>
      <c r="D34" s="106"/>
      <c r="E34" s="106"/>
      <c r="F34" s="243" t="s">
        <v>118</v>
      </c>
      <c r="G34" s="244"/>
    </row>
    <row r="35" spans="1:7" ht="15.75" customHeight="1">
      <c r="A35" s="104" t="s">
        <v>119</v>
      </c>
      <c r="B35" s="104" t="s">
        <v>120</v>
      </c>
      <c r="C35" s="104" t="s">
        <v>65</v>
      </c>
      <c r="D35" s="104" t="s">
        <v>121</v>
      </c>
      <c r="E35" s="104" t="s">
        <v>122</v>
      </c>
      <c r="F35" s="45" t="s">
        <v>123</v>
      </c>
      <c r="G35" s="46">
        <v>8.6</v>
      </c>
    </row>
    <row r="36" spans="1:7" ht="15.75">
      <c r="A36" s="105"/>
      <c r="B36" s="105"/>
      <c r="C36" s="105"/>
      <c r="D36" s="105"/>
      <c r="E36" s="105"/>
      <c r="F36" s="45" t="s">
        <v>124</v>
      </c>
      <c r="G36" s="46">
        <v>8.6</v>
      </c>
    </row>
    <row r="37" spans="1:7" ht="15.75" customHeight="1">
      <c r="A37" s="100" t="s">
        <v>238</v>
      </c>
      <c r="B37" s="100" t="s">
        <v>239</v>
      </c>
      <c r="C37" s="100" t="s">
        <v>240</v>
      </c>
      <c r="D37" s="102" t="s">
        <v>149</v>
      </c>
      <c r="E37" s="102" t="s">
        <v>129</v>
      </c>
      <c r="F37" s="45" t="s">
        <v>130</v>
      </c>
      <c r="G37" s="47">
        <f>(10896/1214)</f>
        <v>8.975288303130148</v>
      </c>
    </row>
    <row r="38" spans="1:7" ht="27">
      <c r="A38" s="101"/>
      <c r="B38" s="101"/>
      <c r="C38" s="101"/>
      <c r="D38" s="103"/>
      <c r="E38" s="103"/>
      <c r="F38" s="45" t="s">
        <v>131</v>
      </c>
      <c r="G38" s="47">
        <v>104.36381747825753</v>
      </c>
    </row>
    <row r="39" spans="1:7" ht="15.75">
      <c r="A39" s="96" t="s">
        <v>241</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90</v>
      </c>
    </row>
    <row r="42" spans="1:7" ht="15.75">
      <c r="A42" s="105"/>
      <c r="B42" s="105"/>
      <c r="C42" s="105"/>
      <c r="D42" s="105"/>
      <c r="E42" s="105"/>
      <c r="F42" s="45" t="s">
        <v>124</v>
      </c>
      <c r="G42" s="46">
        <v>90</v>
      </c>
    </row>
    <row r="43" spans="1:7" ht="15.75" customHeight="1">
      <c r="A43" s="100" t="s">
        <v>242</v>
      </c>
      <c r="B43" s="100" t="s">
        <v>243</v>
      </c>
      <c r="C43" s="100" t="s">
        <v>244</v>
      </c>
      <c r="D43" s="102" t="s">
        <v>5</v>
      </c>
      <c r="E43" s="102" t="s">
        <v>142</v>
      </c>
      <c r="F43" s="45" t="s">
        <v>130</v>
      </c>
      <c r="G43" s="47">
        <f>GEOMEAN(SQRT(100*100))</f>
        <v>100</v>
      </c>
    </row>
    <row r="44" spans="1:7" ht="27">
      <c r="A44" s="101"/>
      <c r="B44" s="101"/>
      <c r="C44" s="101"/>
      <c r="D44" s="103"/>
      <c r="E44" s="103"/>
      <c r="F44" s="45" t="s">
        <v>131</v>
      </c>
      <c r="G44" s="47">
        <v>111.11111111111111</v>
      </c>
    </row>
    <row r="45" spans="1:7" ht="15.75">
      <c r="A45" s="96" t="s">
        <v>245</v>
      </c>
      <c r="B45" s="96"/>
      <c r="C45" s="96"/>
      <c r="D45" s="96"/>
      <c r="E45" s="96"/>
      <c r="F45" s="96"/>
      <c r="G45" s="96"/>
    </row>
    <row r="46" spans="1:7" ht="15.75">
      <c r="A46" s="106" t="s">
        <v>117</v>
      </c>
      <c r="B46" s="106"/>
      <c r="C46" s="106"/>
      <c r="D46" s="106"/>
      <c r="E46" s="106"/>
      <c r="F46" s="106" t="s">
        <v>118</v>
      </c>
      <c r="G46" s="106"/>
    </row>
    <row r="47" spans="1:7" ht="15.75" customHeight="1">
      <c r="A47" s="104" t="s">
        <v>119</v>
      </c>
      <c r="B47" s="104" t="s">
        <v>120</v>
      </c>
      <c r="C47" s="104" t="s">
        <v>65</v>
      </c>
      <c r="D47" s="104" t="s">
        <v>121</v>
      </c>
      <c r="E47" s="104" t="s">
        <v>122</v>
      </c>
      <c r="F47" s="45" t="s">
        <v>123</v>
      </c>
      <c r="G47" s="46">
        <v>100</v>
      </c>
    </row>
    <row r="48" spans="1:7" ht="15.75">
      <c r="A48" s="105"/>
      <c r="B48" s="105"/>
      <c r="C48" s="105"/>
      <c r="D48" s="105"/>
      <c r="E48" s="105"/>
      <c r="F48" s="45" t="s">
        <v>124</v>
      </c>
      <c r="G48" s="46">
        <v>100</v>
      </c>
    </row>
    <row r="49" spans="1:7" ht="15.75" customHeight="1">
      <c r="A49" s="100" t="s">
        <v>246</v>
      </c>
      <c r="B49" s="100" t="s">
        <v>247</v>
      </c>
      <c r="C49" s="100" t="s">
        <v>248</v>
      </c>
      <c r="D49" s="102" t="s">
        <v>5</v>
      </c>
      <c r="E49" s="102" t="s">
        <v>167</v>
      </c>
      <c r="F49" s="45" t="s">
        <v>130</v>
      </c>
      <c r="G49" s="47">
        <f>(167/167)*100</f>
        <v>100</v>
      </c>
    </row>
    <row r="50" spans="1:7" ht="27">
      <c r="A50" s="101"/>
      <c r="B50" s="101"/>
      <c r="C50" s="101"/>
      <c r="D50" s="103"/>
      <c r="E50" s="103"/>
      <c r="F50" s="45" t="s">
        <v>131</v>
      </c>
      <c r="G50" s="47">
        <v>100</v>
      </c>
    </row>
    <row r="51" spans="1:7" ht="15.75" customHeight="1">
      <c r="A51" s="104" t="s">
        <v>119</v>
      </c>
      <c r="B51" s="104" t="s">
        <v>120</v>
      </c>
      <c r="C51" s="104" t="s">
        <v>65</v>
      </c>
      <c r="D51" s="104" t="s">
        <v>121</v>
      </c>
      <c r="E51" s="104" t="s">
        <v>122</v>
      </c>
      <c r="F51" s="45" t="s">
        <v>123</v>
      </c>
      <c r="G51" s="46">
        <v>100</v>
      </c>
    </row>
    <row r="52" spans="1:7" ht="15.75">
      <c r="A52" s="105"/>
      <c r="B52" s="105"/>
      <c r="C52" s="105"/>
      <c r="D52" s="105"/>
      <c r="E52" s="105"/>
      <c r="F52" s="45" t="s">
        <v>124</v>
      </c>
      <c r="G52" s="46">
        <v>100</v>
      </c>
    </row>
    <row r="53" spans="1:7" ht="28.5" customHeight="1">
      <c r="A53" s="100" t="s">
        <v>249</v>
      </c>
      <c r="B53" s="100" t="s">
        <v>247</v>
      </c>
      <c r="C53" s="100" t="s">
        <v>250</v>
      </c>
      <c r="D53" s="102" t="s">
        <v>5</v>
      </c>
      <c r="E53" s="102" t="s">
        <v>167</v>
      </c>
      <c r="F53" s="45" t="s">
        <v>130</v>
      </c>
      <c r="G53" s="47">
        <f>(56/56)*100</f>
        <v>100</v>
      </c>
    </row>
    <row r="54" spans="1:7" ht="27">
      <c r="A54" s="101"/>
      <c r="B54" s="101"/>
      <c r="C54" s="101"/>
      <c r="D54" s="103"/>
      <c r="E54" s="103"/>
      <c r="F54" s="45" t="s">
        <v>131</v>
      </c>
      <c r="G54" s="47">
        <v>100</v>
      </c>
    </row>
    <row r="55" spans="1:7" ht="15.75" customHeight="1">
      <c r="A55" s="104" t="s">
        <v>119</v>
      </c>
      <c r="B55" s="104" t="s">
        <v>120</v>
      </c>
      <c r="C55" s="104" t="s">
        <v>65</v>
      </c>
      <c r="D55" s="104" t="s">
        <v>121</v>
      </c>
      <c r="E55" s="104" t="s">
        <v>122</v>
      </c>
      <c r="F55" s="45" t="s">
        <v>123</v>
      </c>
      <c r="G55" s="46">
        <v>95</v>
      </c>
    </row>
    <row r="56" spans="1:7" ht="15.75">
      <c r="A56" s="105"/>
      <c r="B56" s="105"/>
      <c r="C56" s="105"/>
      <c r="D56" s="105"/>
      <c r="E56" s="105"/>
      <c r="F56" s="45" t="s">
        <v>124</v>
      </c>
      <c r="G56" s="46">
        <v>95</v>
      </c>
    </row>
    <row r="57" spans="1:7" ht="27" customHeight="1">
      <c r="A57" s="100" t="s">
        <v>251</v>
      </c>
      <c r="B57" s="100" t="s">
        <v>252</v>
      </c>
      <c r="C57" s="100" t="s">
        <v>253</v>
      </c>
      <c r="D57" s="102" t="s">
        <v>5</v>
      </c>
      <c r="E57" s="102" t="s">
        <v>167</v>
      </c>
      <c r="F57" s="45" t="s">
        <v>130</v>
      </c>
      <c r="G57" s="47">
        <f>(3746/3671)*100</f>
        <v>102.04304004358487</v>
      </c>
    </row>
    <row r="58" spans="1:7" ht="27">
      <c r="A58" s="101"/>
      <c r="B58" s="101"/>
      <c r="C58" s="101"/>
      <c r="D58" s="103"/>
      <c r="E58" s="103"/>
      <c r="F58" s="45" t="s">
        <v>131</v>
      </c>
      <c r="G58" s="47">
        <v>107.41372636166828</v>
      </c>
    </row>
    <row r="59" spans="1:7" ht="15.75" customHeight="1">
      <c r="A59" s="104" t="s">
        <v>119</v>
      </c>
      <c r="B59" s="104" t="s">
        <v>120</v>
      </c>
      <c r="C59" s="104" t="s">
        <v>65</v>
      </c>
      <c r="D59" s="104" t="s">
        <v>121</v>
      </c>
      <c r="E59" s="104" t="s">
        <v>122</v>
      </c>
      <c r="F59" s="45" t="s">
        <v>123</v>
      </c>
      <c r="G59" s="46">
        <v>95</v>
      </c>
    </row>
    <row r="60" spans="1:7" ht="15.75">
      <c r="A60" s="105"/>
      <c r="B60" s="105"/>
      <c r="C60" s="105"/>
      <c r="D60" s="105"/>
      <c r="E60" s="105"/>
      <c r="F60" s="45" t="s">
        <v>124</v>
      </c>
      <c r="G60" s="46">
        <v>95</v>
      </c>
    </row>
    <row r="61" spans="1:7" ht="33" customHeight="1">
      <c r="A61" s="100" t="s">
        <v>254</v>
      </c>
      <c r="B61" s="100" t="s">
        <v>252</v>
      </c>
      <c r="C61" s="100" t="s">
        <v>255</v>
      </c>
      <c r="D61" s="102" t="s">
        <v>5</v>
      </c>
      <c r="E61" s="102" t="s">
        <v>167</v>
      </c>
      <c r="F61" s="45" t="s">
        <v>130</v>
      </c>
      <c r="G61" s="47">
        <f>(987/987)*100</f>
        <v>100</v>
      </c>
    </row>
    <row r="62" spans="1:7" ht="33" customHeight="1">
      <c r="A62" s="101"/>
      <c r="B62" s="101"/>
      <c r="C62" s="101"/>
      <c r="D62" s="103"/>
      <c r="E62" s="103"/>
      <c r="F62" s="45" t="s">
        <v>131</v>
      </c>
      <c r="G62" s="47">
        <v>105.26315789473684</v>
      </c>
    </row>
    <row r="63" spans="1:7" ht="15.75" customHeight="1">
      <c r="A63" s="104" t="s">
        <v>119</v>
      </c>
      <c r="B63" s="104" t="s">
        <v>120</v>
      </c>
      <c r="C63" s="104" t="s">
        <v>65</v>
      </c>
      <c r="D63" s="104" t="s">
        <v>121</v>
      </c>
      <c r="E63" s="104" t="s">
        <v>122</v>
      </c>
      <c r="F63" s="45" t="s">
        <v>123</v>
      </c>
      <c r="G63" s="46">
        <v>95</v>
      </c>
    </row>
    <row r="64" spans="1:7" ht="15.75">
      <c r="A64" s="105"/>
      <c r="B64" s="105"/>
      <c r="C64" s="105"/>
      <c r="D64" s="105"/>
      <c r="E64" s="105"/>
      <c r="F64" s="45" t="s">
        <v>124</v>
      </c>
      <c r="G64" s="46">
        <v>95</v>
      </c>
    </row>
    <row r="65" spans="1:7" ht="33.75" customHeight="1">
      <c r="A65" s="100" t="s">
        <v>256</v>
      </c>
      <c r="B65" s="100" t="s">
        <v>252</v>
      </c>
      <c r="C65" s="100" t="s">
        <v>257</v>
      </c>
      <c r="D65" s="102" t="s">
        <v>5</v>
      </c>
      <c r="E65" s="102" t="s">
        <v>167</v>
      </c>
      <c r="F65" s="45" t="s">
        <v>130</v>
      </c>
      <c r="G65" s="47">
        <f>(25336/25342)*100</f>
        <v>99.97632388919581</v>
      </c>
    </row>
    <row r="66" spans="1:7" ht="33.75" customHeight="1">
      <c r="A66" s="101"/>
      <c r="B66" s="101"/>
      <c r="C66" s="101"/>
      <c r="D66" s="103"/>
      <c r="E66" s="103"/>
      <c r="F66" s="45" t="s">
        <v>131</v>
      </c>
      <c r="G66" s="47">
        <v>105.2382356728377</v>
      </c>
    </row>
    <row r="67" spans="1:7" ht="15.75">
      <c r="A67" s="96" t="s">
        <v>192</v>
      </c>
      <c r="B67" s="96"/>
      <c r="C67" s="96"/>
      <c r="D67" s="96"/>
      <c r="E67" s="96"/>
      <c r="F67" s="96"/>
      <c r="G67" s="96"/>
    </row>
    <row r="68" spans="1:7" ht="15.75">
      <c r="A68" s="150" t="str">
        <f>+A31</f>
        <v>Índice de Gestión para Resultados con enfoque de derechos humanos y perspectiva de género (IGpR)</v>
      </c>
      <c r="B68" s="151"/>
      <c r="C68" s="151"/>
      <c r="D68" s="151"/>
      <c r="E68" s="151"/>
      <c r="F68" s="151"/>
      <c r="G68" s="152"/>
    </row>
    <row r="69" spans="1:7" ht="94.5" customHeight="1">
      <c r="A69" s="48" t="s">
        <v>193</v>
      </c>
      <c r="B69" s="98" t="s">
        <v>258</v>
      </c>
      <c r="C69" s="98"/>
      <c r="D69" s="98"/>
      <c r="E69" s="98"/>
      <c r="F69" s="98"/>
      <c r="G69" s="98"/>
    </row>
    <row r="70" spans="1:7" ht="31.5" customHeight="1">
      <c r="A70" s="49" t="s">
        <v>6</v>
      </c>
      <c r="B70" s="98" t="s">
        <v>461</v>
      </c>
      <c r="C70" s="98"/>
      <c r="D70" s="98"/>
      <c r="E70" s="98"/>
      <c r="F70" s="98"/>
      <c r="G70" s="98"/>
    </row>
    <row r="71" spans="1:7" ht="15.75">
      <c r="A71" s="49" t="s">
        <v>195</v>
      </c>
      <c r="B71" s="95" t="s">
        <v>259</v>
      </c>
      <c r="C71" s="95"/>
      <c r="D71" s="95"/>
      <c r="E71" s="95"/>
      <c r="F71" s="95"/>
      <c r="G71" s="95"/>
    </row>
    <row r="72" spans="1:7" ht="15.75">
      <c r="A72" s="90" t="str">
        <f>+A37</f>
        <v>Promedio otorgado por los usuarios de los servicios proporcionados por la DGA.</v>
      </c>
      <c r="B72" s="90"/>
      <c r="C72" s="90"/>
      <c r="D72" s="90"/>
      <c r="E72" s="90"/>
      <c r="F72" s="90"/>
      <c r="G72" s="90"/>
    </row>
    <row r="73" spans="1:7" ht="15.75">
      <c r="A73" s="49" t="s">
        <v>193</v>
      </c>
      <c r="B73" s="94" t="s">
        <v>260</v>
      </c>
      <c r="C73" s="94"/>
      <c r="D73" s="94"/>
      <c r="E73" s="94"/>
      <c r="F73" s="94"/>
      <c r="G73" s="94"/>
    </row>
    <row r="74" spans="1:7" ht="31.5" customHeight="1">
      <c r="A74" s="49" t="s">
        <v>6</v>
      </c>
      <c r="B74" s="94" t="s">
        <v>261</v>
      </c>
      <c r="C74" s="94"/>
      <c r="D74" s="94"/>
      <c r="E74" s="94"/>
      <c r="F74" s="94"/>
      <c r="G74" s="94"/>
    </row>
    <row r="75" spans="1:7" ht="15.75">
      <c r="A75" s="49" t="s">
        <v>195</v>
      </c>
      <c r="B75" s="95" t="s">
        <v>259</v>
      </c>
      <c r="C75" s="95"/>
      <c r="D75" s="95"/>
      <c r="E75" s="95"/>
      <c r="F75" s="95"/>
      <c r="G75" s="95"/>
    </row>
    <row r="76" spans="1:7" ht="15.75">
      <c r="A76" s="90" t="str">
        <f>+A43</f>
        <v>Media geométrica de efectividad en actividades de la DGA.</v>
      </c>
      <c r="B76" s="90"/>
      <c r="C76" s="90"/>
      <c r="D76" s="90"/>
      <c r="E76" s="90"/>
      <c r="F76" s="90"/>
      <c r="G76" s="90"/>
    </row>
    <row r="77" spans="1:7" ht="31.5" customHeight="1">
      <c r="A77" s="49" t="s">
        <v>193</v>
      </c>
      <c r="B77" s="94" t="s">
        <v>262</v>
      </c>
      <c r="C77" s="94"/>
      <c r="D77" s="94"/>
      <c r="E77" s="94"/>
      <c r="F77" s="94"/>
      <c r="G77" s="94"/>
    </row>
    <row r="78" spans="1:7" ht="31.5" customHeight="1">
      <c r="A78" s="49" t="s">
        <v>6</v>
      </c>
      <c r="B78" s="94" t="s">
        <v>263</v>
      </c>
      <c r="C78" s="94"/>
      <c r="D78" s="94"/>
      <c r="E78" s="94"/>
      <c r="F78" s="94"/>
      <c r="G78" s="94"/>
    </row>
    <row r="79" spans="1:7" ht="15.75">
      <c r="A79" s="49" t="s">
        <v>195</v>
      </c>
      <c r="B79" s="95"/>
      <c r="C79" s="95"/>
      <c r="D79" s="95"/>
      <c r="E79" s="95"/>
      <c r="F79" s="95"/>
      <c r="G79" s="95"/>
    </row>
    <row r="80" spans="1:7" ht="15.75">
      <c r="A80" s="90" t="str">
        <f>+A49</f>
        <v>Porcentaje de avance en el cumplimiento de obligaciones en materia de recursos humanos, con instancias externas.</v>
      </c>
      <c r="B80" s="90"/>
      <c r="C80" s="90"/>
      <c r="D80" s="90"/>
      <c r="E80" s="90"/>
      <c r="F80" s="90"/>
      <c r="G80" s="90"/>
    </row>
    <row r="81" spans="1:7" ht="129.75" customHeight="1">
      <c r="A81" s="49" t="s">
        <v>193</v>
      </c>
      <c r="B81" s="94" t="s">
        <v>264</v>
      </c>
      <c r="C81" s="94"/>
      <c r="D81" s="94"/>
      <c r="E81" s="94"/>
      <c r="F81" s="94"/>
      <c r="G81" s="94"/>
    </row>
    <row r="82" spans="1:7" ht="31.5" customHeight="1">
      <c r="A82" s="49" t="s">
        <v>6</v>
      </c>
      <c r="B82" s="94" t="s">
        <v>265</v>
      </c>
      <c r="C82" s="94"/>
      <c r="D82" s="94"/>
      <c r="E82" s="94"/>
      <c r="F82" s="94"/>
      <c r="G82" s="94"/>
    </row>
    <row r="83" spans="1:7" ht="15.75">
      <c r="A83" s="49" t="s">
        <v>195</v>
      </c>
      <c r="B83" s="95" t="s">
        <v>259</v>
      </c>
      <c r="C83" s="95"/>
      <c r="D83" s="95"/>
      <c r="E83" s="95"/>
      <c r="F83" s="95"/>
      <c r="G83" s="95"/>
    </row>
    <row r="84" spans="1:7" ht="15.75">
      <c r="A84" s="90" t="str">
        <f>+A53</f>
        <v>Porcentaje de avance en la entrega de informes presupuestales y financieros a la SHCP. </v>
      </c>
      <c r="B84" s="90"/>
      <c r="C84" s="90"/>
      <c r="D84" s="90"/>
      <c r="E84" s="90"/>
      <c r="F84" s="90"/>
      <c r="G84" s="90"/>
    </row>
    <row r="85" spans="1:7" ht="129.75" customHeight="1">
      <c r="A85" s="49" t="s">
        <v>193</v>
      </c>
      <c r="B85" s="94" t="s">
        <v>266</v>
      </c>
      <c r="C85" s="94"/>
      <c r="D85" s="94"/>
      <c r="E85" s="94"/>
      <c r="F85" s="94"/>
      <c r="G85" s="94"/>
    </row>
    <row r="86" spans="1:7" ht="31.5" customHeight="1">
      <c r="A86" s="49" t="s">
        <v>6</v>
      </c>
      <c r="B86" s="94" t="s">
        <v>267</v>
      </c>
      <c r="C86" s="94"/>
      <c r="D86" s="94"/>
      <c r="E86" s="94"/>
      <c r="F86" s="94"/>
      <c r="G86" s="94"/>
    </row>
    <row r="87" spans="1:7" ht="15.75">
      <c r="A87" s="49" t="s">
        <v>195</v>
      </c>
      <c r="B87" s="95" t="s">
        <v>259</v>
      </c>
      <c r="C87" s="95"/>
      <c r="D87" s="95"/>
      <c r="E87" s="95"/>
      <c r="F87" s="95"/>
      <c r="G87" s="95"/>
    </row>
    <row r="88" spans="1:7" ht="15.75">
      <c r="A88" s="90" t="str">
        <f>+A57</f>
        <v>Porcentaje de servicios atendidos por la Dirección de Recursos Financieros.</v>
      </c>
      <c r="B88" s="90"/>
      <c r="C88" s="90"/>
      <c r="D88" s="90"/>
      <c r="E88" s="90"/>
      <c r="F88" s="90"/>
      <c r="G88" s="90"/>
    </row>
    <row r="89" spans="1:7" ht="56.25" customHeight="1">
      <c r="A89" s="49" t="s">
        <v>193</v>
      </c>
      <c r="B89" s="94" t="s">
        <v>268</v>
      </c>
      <c r="C89" s="94"/>
      <c r="D89" s="94"/>
      <c r="E89" s="94"/>
      <c r="F89" s="94"/>
      <c r="G89" s="94"/>
    </row>
    <row r="90" spans="1:7" ht="31.5" customHeight="1">
      <c r="A90" s="49" t="s">
        <v>6</v>
      </c>
      <c r="B90" s="94" t="s">
        <v>269</v>
      </c>
      <c r="C90" s="94"/>
      <c r="D90" s="94"/>
      <c r="E90" s="94"/>
      <c r="F90" s="94"/>
      <c r="G90" s="94"/>
    </row>
    <row r="91" spans="1:7" ht="15.75">
      <c r="A91" s="49" t="s">
        <v>195</v>
      </c>
      <c r="B91" s="95" t="s">
        <v>259</v>
      </c>
      <c r="C91" s="95"/>
      <c r="D91" s="95"/>
      <c r="E91" s="95"/>
      <c r="F91" s="95"/>
      <c r="G91" s="95"/>
    </row>
    <row r="92" spans="1:7" ht="15.75">
      <c r="A92" s="90" t="str">
        <f>+A61</f>
        <v>Porcentaje de servicios atendidos por la Dirección de Desarrollo Humano y Organizacional.</v>
      </c>
      <c r="B92" s="90"/>
      <c r="C92" s="90"/>
      <c r="D92" s="90"/>
      <c r="E92" s="90"/>
      <c r="F92" s="90"/>
      <c r="G92" s="90"/>
    </row>
    <row r="93" spans="1:7" ht="64.5" customHeight="1">
      <c r="A93" s="49" t="s">
        <v>193</v>
      </c>
      <c r="B93" s="94" t="s">
        <v>270</v>
      </c>
      <c r="C93" s="94"/>
      <c r="D93" s="94"/>
      <c r="E93" s="94"/>
      <c r="F93" s="94"/>
      <c r="G93" s="94"/>
    </row>
    <row r="94" spans="1:7" ht="31.5" customHeight="1">
      <c r="A94" s="49" t="s">
        <v>6</v>
      </c>
      <c r="B94" s="94" t="s">
        <v>271</v>
      </c>
      <c r="C94" s="94"/>
      <c r="D94" s="94"/>
      <c r="E94" s="94"/>
      <c r="F94" s="94"/>
      <c r="G94" s="94"/>
    </row>
    <row r="95" spans="1:7" ht="15.75">
      <c r="A95" s="49" t="s">
        <v>195</v>
      </c>
      <c r="B95" s="95" t="s">
        <v>259</v>
      </c>
      <c r="C95" s="95"/>
      <c r="D95" s="95"/>
      <c r="E95" s="95"/>
      <c r="F95" s="95"/>
      <c r="G95" s="95"/>
    </row>
    <row r="96" spans="1:7" ht="15.75">
      <c r="A96" s="90" t="str">
        <f>+A65</f>
        <v>Porcentaje de servicios atendidos por la Dirección de Recursos Materiales y Servicios Generales.</v>
      </c>
      <c r="B96" s="90"/>
      <c r="C96" s="90"/>
      <c r="D96" s="90"/>
      <c r="E96" s="90"/>
      <c r="F96" s="90"/>
      <c r="G96" s="90"/>
    </row>
    <row r="97" spans="1:7" ht="66.75" customHeight="1">
      <c r="A97" s="49" t="s">
        <v>193</v>
      </c>
      <c r="B97" s="94" t="s">
        <v>272</v>
      </c>
      <c r="C97" s="94"/>
      <c r="D97" s="94"/>
      <c r="E97" s="94"/>
      <c r="F97" s="94"/>
      <c r="G97" s="94"/>
    </row>
    <row r="98" spans="1:7" ht="31.5" customHeight="1">
      <c r="A98" s="49" t="s">
        <v>6</v>
      </c>
      <c r="B98" s="94" t="s">
        <v>273</v>
      </c>
      <c r="C98" s="94"/>
      <c r="D98" s="94"/>
      <c r="E98" s="94"/>
      <c r="F98" s="94"/>
      <c r="G98" s="94"/>
    </row>
    <row r="99" spans="1:7" ht="30" customHeight="1">
      <c r="A99" s="49" t="s">
        <v>195</v>
      </c>
      <c r="B99" s="95" t="s">
        <v>259</v>
      </c>
      <c r="C99" s="95"/>
      <c r="D99" s="95"/>
      <c r="E99" s="95"/>
      <c r="F99" s="95"/>
      <c r="G99" s="95"/>
    </row>
    <row r="100" spans="1:7" ht="15.75">
      <c r="A100" s="90"/>
      <c r="B100" s="90"/>
      <c r="C100" s="90"/>
      <c r="D100" s="90"/>
      <c r="E100" s="90"/>
      <c r="F100" s="90"/>
      <c r="G100" s="90"/>
    </row>
    <row r="101" spans="1:7" ht="15.75">
      <c r="A101" s="96" t="s">
        <v>226</v>
      </c>
      <c r="B101" s="96"/>
      <c r="C101" s="96"/>
      <c r="D101" s="96"/>
      <c r="E101" s="96"/>
      <c r="F101" s="96"/>
      <c r="G101" s="96"/>
    </row>
    <row r="102" spans="1:7" ht="15.75">
      <c r="A102" s="90" t="s">
        <v>125</v>
      </c>
      <c r="B102" s="90"/>
      <c r="C102" s="90"/>
      <c r="D102" s="90"/>
      <c r="E102" s="90"/>
      <c r="F102" s="90"/>
      <c r="G102" s="90"/>
    </row>
    <row r="103" spans="1:7" ht="31.5" customHeight="1">
      <c r="A103" s="49" t="s">
        <v>227</v>
      </c>
      <c r="B103" s="91" t="s">
        <v>274</v>
      </c>
      <c r="C103" s="91"/>
      <c r="D103" s="91"/>
      <c r="E103" s="91"/>
      <c r="F103" s="91"/>
      <c r="G103" s="91"/>
    </row>
    <row r="104" spans="1:7" ht="15.75">
      <c r="A104" s="90"/>
      <c r="B104" s="90"/>
      <c r="C104" s="90"/>
      <c r="D104" s="90"/>
      <c r="E104" s="90"/>
      <c r="F104" s="90"/>
      <c r="G104" s="90"/>
    </row>
    <row r="105" spans="1:7" ht="31.5" customHeight="1">
      <c r="A105" s="196" t="s">
        <v>229</v>
      </c>
      <c r="B105" s="197"/>
      <c r="C105" s="197"/>
      <c r="D105" s="197"/>
      <c r="E105" s="197"/>
      <c r="F105" s="197"/>
      <c r="G105" s="197"/>
    </row>
  </sheetData>
  <sheetProtection/>
  <mergeCells count="164">
    <mergeCell ref="A104:G104"/>
    <mergeCell ref="A105:G105"/>
    <mergeCell ref="B98:G98"/>
    <mergeCell ref="B99:G99"/>
    <mergeCell ref="A100:G100"/>
    <mergeCell ref="A101:G101"/>
    <mergeCell ref="A102:G102"/>
    <mergeCell ref="B103:G103"/>
    <mergeCell ref="A92:G92"/>
    <mergeCell ref="B93:G93"/>
    <mergeCell ref="B94:G94"/>
    <mergeCell ref="B95:G95"/>
    <mergeCell ref="A96:G96"/>
    <mergeCell ref="B97:G97"/>
    <mergeCell ref="B86:G86"/>
    <mergeCell ref="B87:G87"/>
    <mergeCell ref="A88:G88"/>
    <mergeCell ref="B89:G89"/>
    <mergeCell ref="B90:G90"/>
    <mergeCell ref="B91:G91"/>
    <mergeCell ref="A80:G80"/>
    <mergeCell ref="B81:G81"/>
    <mergeCell ref="B82:G82"/>
    <mergeCell ref="B83:G83"/>
    <mergeCell ref="A84:G84"/>
    <mergeCell ref="B85:G85"/>
    <mergeCell ref="B74:G74"/>
    <mergeCell ref="B75:G75"/>
    <mergeCell ref="A76:G76"/>
    <mergeCell ref="B77:G77"/>
    <mergeCell ref="B78:G78"/>
    <mergeCell ref="B79:G79"/>
    <mergeCell ref="A68:G68"/>
    <mergeCell ref="B69:G69"/>
    <mergeCell ref="B70:G70"/>
    <mergeCell ref="B71:G71"/>
    <mergeCell ref="A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2" manualBreakCount="2">
    <brk id="50" max="255" man="1"/>
    <brk id="83" max="255" man="1"/>
  </rowBreaks>
</worksheet>
</file>

<file path=xl/worksheets/sheet32.xml><?xml version="1.0" encoding="utf-8"?>
<worksheet xmlns="http://schemas.openxmlformats.org/spreadsheetml/2006/main" xmlns:r="http://schemas.openxmlformats.org/officeDocument/2006/relationships">
  <sheetPr>
    <tabColor rgb="FF00853F"/>
  </sheetPr>
  <dimension ref="A2:G26"/>
  <sheetViews>
    <sheetView showGridLines="0" tabSelected="1" zoomScalePageLayoutView="0" workbookViewId="0" topLeftCell="A1">
      <selection activeCell="A29" sqref="A29:A30"/>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78" t="s">
        <v>0</v>
      </c>
      <c r="B2" s="79"/>
      <c r="C2" s="82" t="s">
        <v>81</v>
      </c>
      <c r="D2" s="82"/>
      <c r="E2" s="82"/>
    </row>
    <row r="3" spans="1:5" ht="25.5" customHeight="1" thickBot="1">
      <c r="A3" s="80"/>
      <c r="B3" s="81"/>
      <c r="C3" s="83"/>
      <c r="D3" s="83"/>
      <c r="E3" s="83"/>
    </row>
    <row r="4" ht="15.75" thickTop="1"/>
    <row r="8" spans="1:5" ht="15">
      <c r="A8" s="212" t="s">
        <v>34</v>
      </c>
      <c r="B8" s="212"/>
      <c r="C8" s="212"/>
      <c r="D8" s="212"/>
      <c r="E8" s="212"/>
    </row>
    <row r="9" spans="1:5" ht="15">
      <c r="A9" s="212"/>
      <c r="B9" s="212"/>
      <c r="C9" s="212"/>
      <c r="D9" s="212"/>
      <c r="E9" s="212"/>
    </row>
    <row r="10" spans="1:5" ht="15">
      <c r="A10" s="212" t="s">
        <v>35</v>
      </c>
      <c r="B10" s="212"/>
      <c r="C10" s="212"/>
      <c r="D10" s="212"/>
      <c r="E10" s="212"/>
    </row>
    <row r="11" spans="1:5" ht="15">
      <c r="A11" s="212"/>
      <c r="B11" s="212"/>
      <c r="C11" s="212"/>
      <c r="D11" s="212"/>
      <c r="E11" s="212"/>
    </row>
    <row r="12" spans="1:5" ht="15">
      <c r="A12" s="212"/>
      <c r="B12" s="212"/>
      <c r="C12" s="212"/>
      <c r="D12" s="212"/>
      <c r="E12" s="212"/>
    </row>
    <row r="13" spans="1:5" ht="27.75">
      <c r="A13" s="194"/>
      <c r="B13" s="194"/>
      <c r="C13" s="194"/>
      <c r="D13" s="194"/>
      <c r="E13" s="194"/>
    </row>
    <row r="14" spans="1:7" s="2" customFormat="1" ht="19.5">
      <c r="A14"/>
      <c r="B14" s="1" t="s">
        <v>1</v>
      </c>
      <c r="C14" s="1" t="s">
        <v>9</v>
      </c>
      <c r="D14" s="1" t="s">
        <v>10</v>
      </c>
      <c r="G14" s="3"/>
    </row>
    <row r="15" spans="1:7" s="2" customFormat="1" ht="19.5">
      <c r="A15"/>
      <c r="B15" s="1" t="s">
        <v>2</v>
      </c>
      <c r="C15" s="1" t="s">
        <v>2</v>
      </c>
      <c r="D15" s="1" t="s">
        <v>11</v>
      </c>
      <c r="G15" s="3"/>
    </row>
    <row r="16" spans="1:7" s="2" customFormat="1" ht="19.5">
      <c r="A16"/>
      <c r="B16" s="1"/>
      <c r="C16" s="1"/>
      <c r="D16" s="1"/>
      <c r="G16" s="3"/>
    </row>
    <row r="17" spans="1:7" s="2" customFormat="1" ht="21">
      <c r="A17" s="4" t="s">
        <v>3</v>
      </c>
      <c r="B17" s="5">
        <v>17.420969</v>
      </c>
      <c r="C17" s="5">
        <v>14.68697052</v>
      </c>
      <c r="D17" s="6">
        <f>(C17)/B17</f>
        <v>0.8430627779660247</v>
      </c>
      <c r="G17" s="3"/>
    </row>
    <row r="18" spans="1:7" s="2" customFormat="1" ht="21">
      <c r="A18" s="4" t="s">
        <v>4</v>
      </c>
      <c r="B18" s="5">
        <v>14.68697052</v>
      </c>
      <c r="C18" s="5">
        <v>14.68697052</v>
      </c>
      <c r="D18" s="6">
        <f>(C18)/B18</f>
        <v>1</v>
      </c>
      <c r="G18" s="3"/>
    </row>
    <row r="19" spans="2:4" ht="15">
      <c r="B19" s="7"/>
      <c r="C19" s="7"/>
      <c r="D19" s="7"/>
    </row>
    <row r="21" spans="1:5" ht="63.75" customHeight="1">
      <c r="A21" s="89" t="s">
        <v>79</v>
      </c>
      <c r="B21" s="89"/>
      <c r="C21" s="89"/>
      <c r="D21" s="89"/>
      <c r="E21" s="89"/>
    </row>
    <row r="22" spans="1:5" ht="19.5">
      <c r="A22" s="87" t="s">
        <v>36</v>
      </c>
      <c r="B22" s="87"/>
      <c r="C22" s="87"/>
      <c r="D22" s="87"/>
      <c r="E22" s="87"/>
    </row>
    <row r="23" spans="1:5" ht="19.5">
      <c r="A23" s="89"/>
      <c r="B23" s="89"/>
      <c r="C23" s="89"/>
      <c r="D23" s="89"/>
      <c r="E23" s="89"/>
    </row>
    <row r="24" spans="1:5" ht="19.5">
      <c r="A24" s="89"/>
      <c r="B24" s="89"/>
      <c r="C24" s="89"/>
      <c r="D24" s="89"/>
      <c r="E24" s="89"/>
    </row>
    <row r="25" spans="1:5" ht="19.5">
      <c r="A25" s="8"/>
      <c r="B25" s="8"/>
      <c r="C25" s="8"/>
      <c r="D25" s="8"/>
      <c r="E25" s="8"/>
    </row>
    <row r="26" spans="1:6" ht="19.5">
      <c r="A26" s="224"/>
      <c r="B26" s="224"/>
      <c r="C26" s="224"/>
      <c r="D26" s="224"/>
      <c r="E26" s="224"/>
      <c r="F26" s="224"/>
    </row>
  </sheetData>
  <sheetProtection/>
  <mergeCells count="10">
    <mergeCell ref="A22:E22"/>
    <mergeCell ref="A23:E23"/>
    <mergeCell ref="A24:E24"/>
    <mergeCell ref="A26:F26"/>
    <mergeCell ref="A2:B3"/>
    <mergeCell ref="C2:E3"/>
    <mergeCell ref="A8:E9"/>
    <mergeCell ref="A10:E12"/>
    <mergeCell ref="A13:E13"/>
    <mergeCell ref="A21:E21"/>
  </mergeCells>
  <hyperlinks>
    <hyperlink ref="A22:E22" location="OIC!A1" display="Órgano Interno de Control"/>
  </hyperlinks>
  <printOptions horizontalCentered="1"/>
  <pageMargins left="0.7480314960629921" right="0.7480314960629921" top="0.984251968503937" bottom="0.984251968503937" header="0.5118110236220472" footer="0.5118110236220472"/>
  <pageSetup horizontalDpi="600" verticalDpi="600" orientation="landscape" scale="63" r:id="rId1"/>
</worksheet>
</file>

<file path=xl/worksheets/sheet33.xml><?xml version="1.0" encoding="utf-8"?>
<worksheet xmlns="http://schemas.openxmlformats.org/spreadsheetml/2006/main" xmlns:r="http://schemas.openxmlformats.org/officeDocument/2006/relationships">
  <dimension ref="A1:G160"/>
  <sheetViews>
    <sheetView showGridLines="0" tabSelected="1" view="pageBreakPreview" zoomScale="70" zoomScaleSheetLayoutView="70" zoomScalePageLayoutView="0" workbookViewId="0" topLeftCell="A1">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52"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 customHeight="1">
      <c r="A4" s="107" t="s">
        <v>83</v>
      </c>
      <c r="B4" s="108"/>
      <c r="C4" s="108"/>
      <c r="D4" s="108"/>
      <c r="E4" s="108"/>
      <c r="F4" s="108"/>
      <c r="G4" s="109"/>
    </row>
    <row r="5" spans="1:7" ht="15" customHeight="1">
      <c r="A5" s="137" t="s">
        <v>84</v>
      </c>
      <c r="B5" s="138"/>
      <c r="C5" s="139"/>
      <c r="D5" s="140" t="s">
        <v>346</v>
      </c>
      <c r="E5" s="141"/>
      <c r="F5" s="141"/>
      <c r="G5" s="142"/>
    </row>
    <row r="6" spans="1:7" ht="15" customHeight="1">
      <c r="A6" s="137" t="s">
        <v>86</v>
      </c>
      <c r="B6" s="138"/>
      <c r="C6" s="139"/>
      <c r="D6" s="140" t="s">
        <v>87</v>
      </c>
      <c r="E6" s="141"/>
      <c r="F6" s="141"/>
      <c r="G6" s="142"/>
    </row>
    <row r="7" spans="1:7" ht="15.75">
      <c r="A7" s="137" t="s">
        <v>88</v>
      </c>
      <c r="B7" s="138"/>
      <c r="C7" s="139"/>
      <c r="D7" s="140" t="s">
        <v>347</v>
      </c>
      <c r="E7" s="141"/>
      <c r="F7" s="141"/>
      <c r="G7" s="142"/>
    </row>
    <row r="8" spans="1:7" ht="15.75">
      <c r="A8" s="137" t="s">
        <v>90</v>
      </c>
      <c r="B8" s="138"/>
      <c r="C8" s="139"/>
      <c r="D8" s="140" t="s">
        <v>348</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v>
      </c>
      <c r="B13" s="166"/>
      <c r="C13" s="166"/>
      <c r="D13" s="166"/>
      <c r="E13" s="166"/>
      <c r="F13" s="166"/>
      <c r="G13" s="167"/>
    </row>
    <row r="14" spans="1:7" ht="16.5">
      <c r="A14" s="39"/>
      <c r="B14" s="163" t="s">
        <v>98</v>
      </c>
      <c r="C14" s="163"/>
      <c r="D14" s="163"/>
      <c r="E14" s="163"/>
      <c r="F14" s="163"/>
      <c r="G14" s="164"/>
    </row>
    <row r="15" spans="1:7" ht="15.75">
      <c r="A15" s="40"/>
      <c r="B15" s="168" t="s">
        <v>36</v>
      </c>
      <c r="C15" s="168"/>
      <c r="D15" s="168"/>
      <c r="E15" s="168"/>
      <c r="F15" s="168"/>
      <c r="G15" s="169"/>
    </row>
    <row r="16" spans="1:7" ht="15.75">
      <c r="A16" s="107" t="s">
        <v>100</v>
      </c>
      <c r="B16" s="108"/>
      <c r="C16" s="108"/>
      <c r="D16" s="108"/>
      <c r="E16" s="108"/>
      <c r="F16" s="108"/>
      <c r="G16" s="109"/>
    </row>
    <row r="17" spans="1:7" ht="15.75">
      <c r="A17" s="110" t="s">
        <v>101</v>
      </c>
      <c r="B17" s="111"/>
      <c r="C17" s="112" t="s">
        <v>102</v>
      </c>
      <c r="D17" s="113"/>
      <c r="E17" s="113"/>
      <c r="F17" s="113"/>
      <c r="G17" s="114"/>
    </row>
    <row r="18" spans="1:7" ht="13.5" customHeight="1">
      <c r="A18" s="110" t="s">
        <v>103</v>
      </c>
      <c r="B18" s="111"/>
      <c r="C18" s="112" t="s">
        <v>349</v>
      </c>
      <c r="D18" s="113"/>
      <c r="E18" s="113"/>
      <c r="F18" s="113"/>
      <c r="G18" s="114"/>
    </row>
    <row r="19" spans="1:7" ht="24" customHeight="1">
      <c r="A19" s="110" t="s">
        <v>105</v>
      </c>
      <c r="B19" s="111"/>
      <c r="C19" s="112" t="s">
        <v>350</v>
      </c>
      <c r="D19" s="113"/>
      <c r="E19" s="113"/>
      <c r="F19" s="113"/>
      <c r="G19" s="114"/>
    </row>
    <row r="20" spans="1:7" ht="15.75" customHeight="1">
      <c r="A20" s="110" t="s">
        <v>107</v>
      </c>
      <c r="B20" s="111"/>
      <c r="C20" s="112" t="s">
        <v>351</v>
      </c>
      <c r="D20" s="113"/>
      <c r="E20" s="113"/>
      <c r="F20" s="113"/>
      <c r="G20" s="114"/>
    </row>
    <row r="21" spans="1:7" ht="15.75">
      <c r="A21" s="115" t="s">
        <v>109</v>
      </c>
      <c r="B21" s="115"/>
      <c r="C21" s="116"/>
      <c r="D21" s="116"/>
      <c r="E21" s="116"/>
      <c r="F21" s="116"/>
      <c r="G21" s="116"/>
    </row>
    <row r="22" spans="1:7" ht="15.75" customHeight="1">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'O001'!B17</f>
        <v>17.420969</v>
      </c>
      <c r="F24" s="43">
        <f>'O001'!C17</f>
        <v>14.68697052</v>
      </c>
      <c r="G24" s="44">
        <f>F24/E24</f>
        <v>0.8430627779660247</v>
      </c>
    </row>
    <row r="25" spans="1:7" ht="15.75">
      <c r="A25" s="123" t="s">
        <v>114</v>
      </c>
      <c r="B25" s="124"/>
      <c r="C25" s="124"/>
      <c r="D25" s="125"/>
      <c r="E25" s="43">
        <f>'O001'!B18</f>
        <v>14.68697052</v>
      </c>
      <c r="F25" s="43">
        <f>'O001'!C18</f>
        <v>14.68697052</v>
      </c>
      <c r="G25" s="44">
        <f>F25/E25</f>
        <v>1</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 r="A29" s="104" t="s">
        <v>119</v>
      </c>
      <c r="B29" s="104" t="s">
        <v>120</v>
      </c>
      <c r="C29" s="104" t="s">
        <v>65</v>
      </c>
      <c r="D29" s="104" t="s">
        <v>121</v>
      </c>
      <c r="E29" s="104" t="s">
        <v>122</v>
      </c>
      <c r="F29" s="45" t="s">
        <v>123</v>
      </c>
      <c r="G29" s="46">
        <v>2</v>
      </c>
    </row>
    <row r="30" spans="1:7" ht="15.75">
      <c r="A30" s="105"/>
      <c r="B30" s="105"/>
      <c r="C30" s="105"/>
      <c r="D30" s="105"/>
      <c r="E30" s="105"/>
      <c r="F30" s="45" t="s">
        <v>124</v>
      </c>
      <c r="G30" s="46">
        <v>3</v>
      </c>
    </row>
    <row r="31" spans="1:7" ht="61.5" customHeight="1">
      <c r="A31" s="100" t="s">
        <v>353</v>
      </c>
      <c r="B31" s="100" t="s">
        <v>354</v>
      </c>
      <c r="C31" s="100" t="s">
        <v>127</v>
      </c>
      <c r="D31" s="102" t="s">
        <v>149</v>
      </c>
      <c r="E31" s="102" t="s">
        <v>129</v>
      </c>
      <c r="F31" s="45" t="s">
        <v>130</v>
      </c>
      <c r="G31" s="47">
        <f>(4.78+4.17+4.25+1.78+2.85+1.5)/6</f>
        <v>3.2216666666666662</v>
      </c>
    </row>
    <row r="32" spans="1:7" ht="61.5" customHeight="1">
      <c r="A32" s="101"/>
      <c r="B32" s="101"/>
      <c r="C32" s="101"/>
      <c r="D32" s="103"/>
      <c r="E32" s="103"/>
      <c r="F32" s="45" t="s">
        <v>131</v>
      </c>
      <c r="G32" s="47">
        <v>107.38888888888887</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 r="A35" s="104" t="s">
        <v>119</v>
      </c>
      <c r="B35" s="104" t="s">
        <v>120</v>
      </c>
      <c r="C35" s="104" t="s">
        <v>65</v>
      </c>
      <c r="D35" s="104" t="s">
        <v>121</v>
      </c>
      <c r="E35" s="104" t="s">
        <v>122</v>
      </c>
      <c r="F35" s="45" t="s">
        <v>123</v>
      </c>
      <c r="G35" s="46">
        <v>95</v>
      </c>
    </row>
    <row r="36" spans="1:7" ht="15.75">
      <c r="A36" s="105"/>
      <c r="B36" s="105"/>
      <c r="C36" s="105"/>
      <c r="D36" s="105"/>
      <c r="E36" s="105"/>
      <c r="F36" s="45" t="s">
        <v>124</v>
      </c>
      <c r="G36" s="46">
        <v>95</v>
      </c>
    </row>
    <row r="37" spans="1:7" ht="33" customHeight="1">
      <c r="A37" s="100" t="s">
        <v>355</v>
      </c>
      <c r="B37" s="100" t="s">
        <v>356</v>
      </c>
      <c r="C37" s="100" t="s">
        <v>357</v>
      </c>
      <c r="D37" s="102" t="s">
        <v>5</v>
      </c>
      <c r="E37" s="102" t="s">
        <v>129</v>
      </c>
      <c r="F37" s="45" t="s">
        <v>130</v>
      </c>
      <c r="G37" s="47">
        <f>(0.4*((0.5*(94.9931016424301/99*100))+((0.5*(((10-50)*100/10)+100))*-1)))+(0.2*(3.7037037037037/20*100))+(0.2*(((20-0)*100/20)+100))+(0.2*(((12-20.81151832)*100/12)+100))</f>
        <v>128.20836542136635</v>
      </c>
    </row>
    <row r="38" spans="1:7" ht="33" customHeight="1">
      <c r="A38" s="101"/>
      <c r="B38" s="101"/>
      <c r="C38" s="101"/>
      <c r="D38" s="103"/>
      <c r="E38" s="103"/>
      <c r="F38" s="45" t="s">
        <v>131</v>
      </c>
      <c r="G38" s="47">
        <v>134.95617412775405</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 r="A41" s="104" t="s">
        <v>119</v>
      </c>
      <c r="B41" s="104" t="s">
        <v>120</v>
      </c>
      <c r="C41" s="104" t="s">
        <v>65</v>
      </c>
      <c r="D41" s="104" t="s">
        <v>121</v>
      </c>
      <c r="E41" s="104" t="s">
        <v>122</v>
      </c>
      <c r="F41" s="45" t="s">
        <v>123</v>
      </c>
      <c r="G41" s="46">
        <v>99</v>
      </c>
    </row>
    <row r="42" spans="1:7" ht="15.75">
      <c r="A42" s="105"/>
      <c r="B42" s="105"/>
      <c r="C42" s="105"/>
      <c r="D42" s="105"/>
      <c r="E42" s="105"/>
      <c r="F42" s="45" t="s">
        <v>124</v>
      </c>
      <c r="G42" s="46">
        <v>99</v>
      </c>
    </row>
    <row r="43" spans="1:7" ht="42.75" customHeight="1">
      <c r="A43" s="100" t="s">
        <v>358</v>
      </c>
      <c r="B43" s="100" t="s">
        <v>359</v>
      </c>
      <c r="C43" s="100" t="s">
        <v>360</v>
      </c>
      <c r="D43" s="102" t="s">
        <v>5</v>
      </c>
      <c r="E43" s="102" t="s">
        <v>298</v>
      </c>
      <c r="F43" s="45" t="s">
        <v>130</v>
      </c>
      <c r="G43" s="47">
        <f>+(15955067/16796027)*100</f>
        <v>94.99310164243008</v>
      </c>
    </row>
    <row r="44" spans="1:7" ht="42.75" customHeight="1">
      <c r="A44" s="101"/>
      <c r="B44" s="101"/>
      <c r="C44" s="101"/>
      <c r="D44" s="103"/>
      <c r="E44" s="103"/>
      <c r="F44" s="45" t="s">
        <v>131</v>
      </c>
      <c r="G44" s="47">
        <v>95.95262792164654</v>
      </c>
    </row>
    <row r="45" spans="1:7" ht="15.75">
      <c r="A45" s="104" t="s">
        <v>119</v>
      </c>
      <c r="B45" s="104" t="s">
        <v>120</v>
      </c>
      <c r="C45" s="104" t="s">
        <v>65</v>
      </c>
      <c r="D45" s="104" t="s">
        <v>121</v>
      </c>
      <c r="E45" s="104" t="s">
        <v>122</v>
      </c>
      <c r="F45" s="45" t="s">
        <v>123</v>
      </c>
      <c r="G45" s="46">
        <v>10</v>
      </c>
    </row>
    <row r="46" spans="1:7" ht="15.75">
      <c r="A46" s="105"/>
      <c r="B46" s="105"/>
      <c r="C46" s="105"/>
      <c r="D46" s="105"/>
      <c r="E46" s="105"/>
      <c r="F46" s="45" t="s">
        <v>124</v>
      </c>
      <c r="G46" s="46">
        <v>10</v>
      </c>
    </row>
    <row r="47" spans="1:7" ht="34.5" customHeight="1">
      <c r="A47" s="100" t="s">
        <v>361</v>
      </c>
      <c r="B47" s="100" t="s">
        <v>359</v>
      </c>
      <c r="C47" s="100" t="s">
        <v>362</v>
      </c>
      <c r="D47" s="102" t="s">
        <v>363</v>
      </c>
      <c r="E47" s="102" t="s">
        <v>364</v>
      </c>
      <c r="F47" s="45" t="s">
        <v>130</v>
      </c>
      <c r="G47" s="47">
        <f>+(((1-2)/(2))*-1)*100</f>
        <v>50</v>
      </c>
    </row>
    <row r="48" spans="1:7" ht="34.5" customHeight="1">
      <c r="A48" s="101"/>
      <c r="B48" s="101"/>
      <c r="C48" s="101"/>
      <c r="D48" s="103"/>
      <c r="E48" s="103"/>
      <c r="F48" s="45" t="s">
        <v>131</v>
      </c>
      <c r="G48" s="47">
        <v>-300</v>
      </c>
    </row>
    <row r="49" spans="1:7" ht="15.75">
      <c r="A49" s="104" t="s">
        <v>119</v>
      </c>
      <c r="B49" s="104" t="s">
        <v>120</v>
      </c>
      <c r="C49" s="104" t="s">
        <v>65</v>
      </c>
      <c r="D49" s="104" t="s">
        <v>121</v>
      </c>
      <c r="E49" s="104" t="s">
        <v>122</v>
      </c>
      <c r="F49" s="45" t="s">
        <v>123</v>
      </c>
      <c r="G49" s="46">
        <v>20</v>
      </c>
    </row>
    <row r="50" spans="1:7" ht="15.75">
      <c r="A50" s="105"/>
      <c r="B50" s="105"/>
      <c r="C50" s="105"/>
      <c r="D50" s="105"/>
      <c r="E50" s="105"/>
      <c r="F50" s="45" t="s">
        <v>124</v>
      </c>
      <c r="G50" s="46">
        <v>20</v>
      </c>
    </row>
    <row r="51" spans="1:7" ht="15.75" customHeight="1">
      <c r="A51" s="100" t="s">
        <v>365</v>
      </c>
      <c r="B51" s="100" t="s">
        <v>366</v>
      </c>
      <c r="C51" s="100" t="s">
        <v>367</v>
      </c>
      <c r="D51" s="102" t="s">
        <v>5</v>
      </c>
      <c r="E51" s="102" t="s">
        <v>298</v>
      </c>
      <c r="F51" s="45" t="s">
        <v>130</v>
      </c>
      <c r="G51" s="47">
        <f>+(2/54)*100</f>
        <v>3.7037037037037033</v>
      </c>
    </row>
    <row r="52" spans="1:7" ht="27">
      <c r="A52" s="101"/>
      <c r="B52" s="101"/>
      <c r="C52" s="101"/>
      <c r="D52" s="103"/>
      <c r="E52" s="103"/>
      <c r="F52" s="45" t="s">
        <v>131</v>
      </c>
      <c r="G52" s="47">
        <v>18.51851851851852</v>
      </c>
    </row>
    <row r="53" spans="1:7" ht="15.75">
      <c r="A53" s="104" t="s">
        <v>119</v>
      </c>
      <c r="B53" s="104" t="s">
        <v>120</v>
      </c>
      <c r="C53" s="104" t="s">
        <v>65</v>
      </c>
      <c r="D53" s="104" t="s">
        <v>121</v>
      </c>
      <c r="E53" s="104" t="s">
        <v>122</v>
      </c>
      <c r="F53" s="45" t="s">
        <v>123</v>
      </c>
      <c r="G53" s="46">
        <v>20</v>
      </c>
    </row>
    <row r="54" spans="1:7" ht="15.75">
      <c r="A54" s="105"/>
      <c r="B54" s="105"/>
      <c r="C54" s="105"/>
      <c r="D54" s="105"/>
      <c r="E54" s="105"/>
      <c r="F54" s="45" t="s">
        <v>124</v>
      </c>
      <c r="G54" s="46">
        <v>20</v>
      </c>
    </row>
    <row r="55" spans="1:7" ht="15.75" customHeight="1">
      <c r="A55" s="100" t="s">
        <v>368</v>
      </c>
      <c r="B55" s="100" t="s">
        <v>369</v>
      </c>
      <c r="C55" s="100" t="s">
        <v>370</v>
      </c>
      <c r="D55" s="102" t="s">
        <v>5</v>
      </c>
      <c r="E55" s="102" t="s">
        <v>364</v>
      </c>
      <c r="F55" s="45" t="s">
        <v>130</v>
      </c>
      <c r="G55" s="47">
        <f>+(0/6)*100</f>
        <v>0</v>
      </c>
    </row>
    <row r="56" spans="1:7" ht="27">
      <c r="A56" s="101"/>
      <c r="B56" s="101"/>
      <c r="C56" s="101"/>
      <c r="D56" s="103"/>
      <c r="E56" s="103"/>
      <c r="F56" s="45" t="s">
        <v>131</v>
      </c>
      <c r="G56" s="47">
        <v>200</v>
      </c>
    </row>
    <row r="57" spans="1:7" ht="15.75">
      <c r="A57" s="104" t="s">
        <v>119</v>
      </c>
      <c r="B57" s="104" t="s">
        <v>120</v>
      </c>
      <c r="C57" s="104" t="s">
        <v>65</v>
      </c>
      <c r="D57" s="104" t="s">
        <v>121</v>
      </c>
      <c r="E57" s="104" t="s">
        <v>122</v>
      </c>
      <c r="F57" s="45" t="s">
        <v>123</v>
      </c>
      <c r="G57" s="46">
        <v>12</v>
      </c>
    </row>
    <row r="58" spans="1:7" ht="15.75">
      <c r="A58" s="105"/>
      <c r="B58" s="105"/>
      <c r="C58" s="105"/>
      <c r="D58" s="105"/>
      <c r="E58" s="105"/>
      <c r="F58" s="45" t="s">
        <v>124</v>
      </c>
      <c r="G58" s="46">
        <v>12</v>
      </c>
    </row>
    <row r="59" spans="1:7" ht="33.75" customHeight="1">
      <c r="A59" s="100" t="s">
        <v>371</v>
      </c>
      <c r="B59" s="100" t="s">
        <v>372</v>
      </c>
      <c r="C59" s="100" t="s">
        <v>373</v>
      </c>
      <c r="D59" s="102" t="s">
        <v>363</v>
      </c>
      <c r="E59" s="102" t="s">
        <v>364</v>
      </c>
      <c r="F59" s="45" t="s">
        <v>130</v>
      </c>
      <c r="G59" s="47">
        <f>+(((12.1-15.28)/15.28)*-1)*100</f>
        <v>20.811518324607327</v>
      </c>
    </row>
    <row r="60" spans="1:7" ht="33.75" customHeight="1">
      <c r="A60" s="101"/>
      <c r="B60" s="101"/>
      <c r="C60" s="101"/>
      <c r="D60" s="103"/>
      <c r="E60" s="103"/>
      <c r="F60" s="45" t="s">
        <v>131</v>
      </c>
      <c r="G60" s="47">
        <v>26.570680628272285</v>
      </c>
    </row>
    <row r="61" spans="1:7" ht="15.75">
      <c r="A61" s="96" t="s">
        <v>303</v>
      </c>
      <c r="B61" s="96"/>
      <c r="C61" s="96"/>
      <c r="D61" s="96"/>
      <c r="E61" s="96"/>
      <c r="F61" s="96"/>
      <c r="G61" s="96"/>
    </row>
    <row r="62" spans="1:7" ht="15.75">
      <c r="A62" s="106" t="s">
        <v>117</v>
      </c>
      <c r="B62" s="106"/>
      <c r="C62" s="106"/>
      <c r="D62" s="106"/>
      <c r="E62" s="106"/>
      <c r="F62" s="106" t="s">
        <v>118</v>
      </c>
      <c r="G62" s="106"/>
    </row>
    <row r="63" spans="1:7" ht="15.75">
      <c r="A63" s="104" t="s">
        <v>119</v>
      </c>
      <c r="B63" s="104" t="s">
        <v>120</v>
      </c>
      <c r="C63" s="104" t="s">
        <v>65</v>
      </c>
      <c r="D63" s="104" t="s">
        <v>121</v>
      </c>
      <c r="E63" s="104" t="s">
        <v>122</v>
      </c>
      <c r="F63" s="45" t="s">
        <v>123</v>
      </c>
      <c r="G63" s="46">
        <v>100</v>
      </c>
    </row>
    <row r="64" spans="1:7" ht="15.75">
      <c r="A64" s="105"/>
      <c r="B64" s="105"/>
      <c r="C64" s="105"/>
      <c r="D64" s="105"/>
      <c r="E64" s="105"/>
      <c r="F64" s="45" t="s">
        <v>124</v>
      </c>
      <c r="G64" s="46">
        <v>100</v>
      </c>
    </row>
    <row r="65" spans="1:7" ht="15.75" customHeight="1">
      <c r="A65" s="100" t="s">
        <v>374</v>
      </c>
      <c r="B65" s="100" t="s">
        <v>375</v>
      </c>
      <c r="C65" s="100" t="s">
        <v>376</v>
      </c>
      <c r="D65" s="102" t="s">
        <v>5</v>
      </c>
      <c r="E65" s="102" t="s">
        <v>167</v>
      </c>
      <c r="F65" s="45" t="s">
        <v>130</v>
      </c>
      <c r="G65" s="47">
        <f>+(41/40)*100</f>
        <v>102.49999999999999</v>
      </c>
    </row>
    <row r="66" spans="1:7" ht="27">
      <c r="A66" s="101"/>
      <c r="B66" s="101"/>
      <c r="C66" s="101"/>
      <c r="D66" s="103"/>
      <c r="E66" s="103"/>
      <c r="F66" s="45" t="s">
        <v>131</v>
      </c>
      <c r="G66" s="47">
        <v>102.49999999999999</v>
      </c>
    </row>
    <row r="67" spans="1:7" ht="15.75">
      <c r="A67" s="104" t="s">
        <v>119</v>
      </c>
      <c r="B67" s="104" t="s">
        <v>120</v>
      </c>
      <c r="C67" s="104" t="s">
        <v>65</v>
      </c>
      <c r="D67" s="104" t="s">
        <v>121</v>
      </c>
      <c r="E67" s="104" t="s">
        <v>122</v>
      </c>
      <c r="F67" s="45" t="s">
        <v>123</v>
      </c>
      <c r="G67" s="46">
        <v>100</v>
      </c>
    </row>
    <row r="68" spans="1:7" ht="15.75">
      <c r="A68" s="105"/>
      <c r="B68" s="105"/>
      <c r="C68" s="105"/>
      <c r="D68" s="105"/>
      <c r="E68" s="105"/>
      <c r="F68" s="45" t="s">
        <v>124</v>
      </c>
      <c r="G68" s="46">
        <v>100</v>
      </c>
    </row>
    <row r="69" spans="1:7" ht="15.75" customHeight="1">
      <c r="A69" s="100" t="s">
        <v>377</v>
      </c>
      <c r="B69" s="100" t="s">
        <v>378</v>
      </c>
      <c r="C69" s="100" t="s">
        <v>376</v>
      </c>
      <c r="D69" s="102" t="s">
        <v>5</v>
      </c>
      <c r="E69" s="102" t="s">
        <v>167</v>
      </c>
      <c r="F69" s="45" t="s">
        <v>130</v>
      </c>
      <c r="G69" s="47">
        <f>+(50/43)*100</f>
        <v>116.27906976744187</v>
      </c>
    </row>
    <row r="70" spans="1:7" ht="27">
      <c r="A70" s="101"/>
      <c r="B70" s="101"/>
      <c r="C70" s="101"/>
      <c r="D70" s="103"/>
      <c r="E70" s="103"/>
      <c r="F70" s="45" t="s">
        <v>131</v>
      </c>
      <c r="G70" s="47">
        <v>116.27906976744187</v>
      </c>
    </row>
    <row r="71" spans="1:7" ht="15.75">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15.75" customHeight="1">
      <c r="A73" s="100" t="s">
        <v>379</v>
      </c>
      <c r="B73" s="100" t="s">
        <v>380</v>
      </c>
      <c r="C73" s="100" t="s">
        <v>376</v>
      </c>
      <c r="D73" s="102" t="s">
        <v>5</v>
      </c>
      <c r="E73" s="102" t="s">
        <v>167</v>
      </c>
      <c r="F73" s="45" t="s">
        <v>130</v>
      </c>
      <c r="G73" s="47">
        <f>+(9/12)*100</f>
        <v>75</v>
      </c>
    </row>
    <row r="74" spans="1:7" ht="27">
      <c r="A74" s="101"/>
      <c r="B74" s="101"/>
      <c r="C74" s="101"/>
      <c r="D74" s="103"/>
      <c r="E74" s="103"/>
      <c r="F74" s="45" t="s">
        <v>131</v>
      </c>
      <c r="G74" s="47">
        <v>75</v>
      </c>
    </row>
    <row r="75" spans="1:7" ht="15.75">
      <c r="A75" s="104" t="s">
        <v>119</v>
      </c>
      <c r="B75" s="104" t="s">
        <v>120</v>
      </c>
      <c r="C75" s="104" t="s">
        <v>65</v>
      </c>
      <c r="D75" s="104" t="s">
        <v>121</v>
      </c>
      <c r="E75" s="104" t="s">
        <v>122</v>
      </c>
      <c r="F75" s="45" t="s">
        <v>123</v>
      </c>
      <c r="G75" s="46">
        <v>45</v>
      </c>
    </row>
    <row r="76" spans="1:7" ht="15.75">
      <c r="A76" s="105"/>
      <c r="B76" s="105"/>
      <c r="C76" s="105"/>
      <c r="D76" s="105"/>
      <c r="E76" s="105"/>
      <c r="F76" s="45" t="s">
        <v>124</v>
      </c>
      <c r="G76" s="46">
        <v>45</v>
      </c>
    </row>
    <row r="77" spans="1:7" ht="15.75" customHeight="1">
      <c r="A77" s="100" t="s">
        <v>381</v>
      </c>
      <c r="B77" s="100" t="s">
        <v>382</v>
      </c>
      <c r="C77" s="100" t="s">
        <v>383</v>
      </c>
      <c r="D77" s="102" t="s">
        <v>5</v>
      </c>
      <c r="E77" s="102" t="s">
        <v>298</v>
      </c>
      <c r="F77" s="45" t="s">
        <v>130</v>
      </c>
      <c r="G77" s="47">
        <f>+(58/231)*100</f>
        <v>25.108225108225106</v>
      </c>
    </row>
    <row r="78" spans="1:7" ht="27">
      <c r="A78" s="101"/>
      <c r="B78" s="101"/>
      <c r="C78" s="101"/>
      <c r="D78" s="103"/>
      <c r="E78" s="103"/>
      <c r="F78" s="45" t="s">
        <v>131</v>
      </c>
      <c r="G78" s="47">
        <v>55.79605579605579</v>
      </c>
    </row>
    <row r="79" spans="1:7" ht="15.75">
      <c r="A79" s="104" t="s">
        <v>119</v>
      </c>
      <c r="B79" s="104" t="s">
        <v>120</v>
      </c>
      <c r="C79" s="104" t="s">
        <v>65</v>
      </c>
      <c r="D79" s="104" t="s">
        <v>121</v>
      </c>
      <c r="E79" s="104" t="s">
        <v>122</v>
      </c>
      <c r="F79" s="45" t="s">
        <v>123</v>
      </c>
      <c r="G79" s="46">
        <v>40</v>
      </c>
    </row>
    <row r="80" spans="1:7" ht="15.75">
      <c r="A80" s="105"/>
      <c r="B80" s="105"/>
      <c r="C80" s="105"/>
      <c r="D80" s="105"/>
      <c r="E80" s="105"/>
      <c r="F80" s="45" t="s">
        <v>124</v>
      </c>
      <c r="G80" s="46">
        <v>40</v>
      </c>
    </row>
    <row r="81" spans="1:7" ht="15.75" customHeight="1">
      <c r="A81" s="100" t="s">
        <v>384</v>
      </c>
      <c r="B81" s="100" t="s">
        <v>385</v>
      </c>
      <c r="C81" s="100" t="s">
        <v>386</v>
      </c>
      <c r="D81" s="102" t="s">
        <v>5</v>
      </c>
      <c r="E81" s="102" t="s">
        <v>298</v>
      </c>
      <c r="F81" s="45" t="s">
        <v>130</v>
      </c>
      <c r="G81" s="47">
        <f>+(1/2)*100</f>
        <v>50</v>
      </c>
    </row>
    <row r="82" spans="1:7" ht="27">
      <c r="A82" s="101"/>
      <c r="B82" s="101"/>
      <c r="C82" s="101"/>
      <c r="D82" s="103"/>
      <c r="E82" s="103"/>
      <c r="F82" s="45" t="s">
        <v>131</v>
      </c>
      <c r="G82" s="47">
        <v>125</v>
      </c>
    </row>
    <row r="83" spans="1:7" ht="15.75">
      <c r="A83" s="104" t="s">
        <v>119</v>
      </c>
      <c r="B83" s="104" t="s">
        <v>120</v>
      </c>
      <c r="C83" s="104" t="s">
        <v>65</v>
      </c>
      <c r="D83" s="104" t="s">
        <v>121</v>
      </c>
      <c r="E83" s="104" t="s">
        <v>122</v>
      </c>
      <c r="F83" s="45" t="s">
        <v>123</v>
      </c>
      <c r="G83" s="46">
        <v>50</v>
      </c>
    </row>
    <row r="84" spans="1:7" ht="15.75">
      <c r="A84" s="105"/>
      <c r="B84" s="105"/>
      <c r="C84" s="105"/>
      <c r="D84" s="105"/>
      <c r="E84" s="105"/>
      <c r="F84" s="45" t="s">
        <v>124</v>
      </c>
      <c r="G84" s="46">
        <v>50</v>
      </c>
    </row>
    <row r="85" spans="1:7" ht="29.25" customHeight="1">
      <c r="A85" s="100" t="s">
        <v>387</v>
      </c>
      <c r="B85" s="100" t="s">
        <v>388</v>
      </c>
      <c r="C85" s="100" t="s">
        <v>389</v>
      </c>
      <c r="D85" s="102" t="s">
        <v>5</v>
      </c>
      <c r="E85" s="102" t="s">
        <v>298</v>
      </c>
      <c r="F85" s="45" t="s">
        <v>130</v>
      </c>
      <c r="G85" s="47">
        <f>+(2/6)*100</f>
        <v>33.33333333333333</v>
      </c>
    </row>
    <row r="86" spans="1:7" ht="29.25" customHeight="1">
      <c r="A86" s="101"/>
      <c r="B86" s="101"/>
      <c r="C86" s="101"/>
      <c r="D86" s="103"/>
      <c r="E86" s="103"/>
      <c r="F86" s="45" t="s">
        <v>131</v>
      </c>
      <c r="G86" s="47">
        <v>66.66666666666666</v>
      </c>
    </row>
    <row r="87" spans="1:7" ht="15.75">
      <c r="A87" s="104" t="s">
        <v>119</v>
      </c>
      <c r="B87" s="104" t="s">
        <v>120</v>
      </c>
      <c r="C87" s="104" t="s">
        <v>65</v>
      </c>
      <c r="D87" s="104" t="s">
        <v>121</v>
      </c>
      <c r="E87" s="104" t="s">
        <v>122</v>
      </c>
      <c r="F87" s="45" t="s">
        <v>123</v>
      </c>
      <c r="G87" s="46">
        <v>50</v>
      </c>
    </row>
    <row r="88" spans="1:7" ht="15.75">
      <c r="A88" s="105"/>
      <c r="B88" s="105"/>
      <c r="C88" s="105"/>
      <c r="D88" s="105"/>
      <c r="E88" s="105"/>
      <c r="F88" s="45" t="s">
        <v>124</v>
      </c>
      <c r="G88" s="46">
        <v>50</v>
      </c>
    </row>
    <row r="89" spans="1:7" ht="15.75" customHeight="1">
      <c r="A89" s="100" t="s">
        <v>390</v>
      </c>
      <c r="B89" s="100" t="s">
        <v>391</v>
      </c>
      <c r="C89" s="100" t="s">
        <v>392</v>
      </c>
      <c r="D89" s="102" t="s">
        <v>5</v>
      </c>
      <c r="E89" s="102" t="s">
        <v>298</v>
      </c>
      <c r="F89" s="45" t="s">
        <v>130</v>
      </c>
      <c r="G89" s="47">
        <f>+(6/6)*100</f>
        <v>100</v>
      </c>
    </row>
    <row r="90" spans="1:7" ht="27">
      <c r="A90" s="101"/>
      <c r="B90" s="101"/>
      <c r="C90" s="101"/>
      <c r="D90" s="103"/>
      <c r="E90" s="103"/>
      <c r="F90" s="45" t="s">
        <v>131</v>
      </c>
      <c r="G90" s="47">
        <v>200</v>
      </c>
    </row>
    <row r="91" spans="1:7" ht="15.75">
      <c r="A91" s="104" t="s">
        <v>119</v>
      </c>
      <c r="B91" s="104" t="s">
        <v>120</v>
      </c>
      <c r="C91" s="104" t="s">
        <v>65</v>
      </c>
      <c r="D91" s="104" t="s">
        <v>121</v>
      </c>
      <c r="E91" s="104" t="s">
        <v>122</v>
      </c>
      <c r="F91" s="45" t="s">
        <v>123</v>
      </c>
      <c r="G91" s="46">
        <v>98</v>
      </c>
    </row>
    <row r="92" spans="1:7" ht="15.75">
      <c r="A92" s="105"/>
      <c r="B92" s="105"/>
      <c r="C92" s="105"/>
      <c r="D92" s="105"/>
      <c r="E92" s="105"/>
      <c r="F92" s="45" t="s">
        <v>124</v>
      </c>
      <c r="G92" s="46">
        <v>98</v>
      </c>
    </row>
    <row r="93" spans="1:7" ht="15.75" customHeight="1">
      <c r="A93" s="100" t="s">
        <v>393</v>
      </c>
      <c r="B93" s="100" t="s">
        <v>394</v>
      </c>
      <c r="C93" s="100" t="s">
        <v>395</v>
      </c>
      <c r="D93" s="102" t="s">
        <v>5</v>
      </c>
      <c r="E93" s="102" t="s">
        <v>167</v>
      </c>
      <c r="F93" s="45" t="s">
        <v>130</v>
      </c>
      <c r="G93" s="47">
        <f>+(149/149)*100</f>
        <v>100</v>
      </c>
    </row>
    <row r="94" spans="1:7" ht="27">
      <c r="A94" s="101"/>
      <c r="B94" s="101"/>
      <c r="C94" s="101"/>
      <c r="D94" s="103"/>
      <c r="E94" s="103"/>
      <c r="F94" s="45" t="s">
        <v>131</v>
      </c>
      <c r="G94" s="47">
        <v>102.04081632653062</v>
      </c>
    </row>
    <row r="95" spans="1:7" ht="15.75">
      <c r="A95" s="96" t="s">
        <v>192</v>
      </c>
      <c r="B95" s="96"/>
      <c r="C95" s="96"/>
      <c r="D95" s="96"/>
      <c r="E95" s="96"/>
      <c r="F95" s="96"/>
      <c r="G95" s="96"/>
    </row>
    <row r="96" spans="1:7" ht="15.75">
      <c r="A96" s="99" t="str">
        <f>+A31</f>
        <v>Índice de Gestión para Resultados con enfoque de derechos humanos y perspectiva de género (IGpR) </v>
      </c>
      <c r="B96" s="99"/>
      <c r="C96" s="99"/>
      <c r="D96" s="99"/>
      <c r="E96" s="99"/>
      <c r="F96" s="99"/>
      <c r="G96" s="99"/>
    </row>
    <row r="97" spans="1:7" ht="91.5" customHeight="1">
      <c r="A97" s="48" t="s">
        <v>193</v>
      </c>
      <c r="B97" s="98" t="s">
        <v>258</v>
      </c>
      <c r="C97" s="98"/>
      <c r="D97" s="98"/>
      <c r="E97" s="98"/>
      <c r="F97" s="98"/>
      <c r="G97" s="98"/>
    </row>
    <row r="98" spans="1:7" ht="31.5" customHeight="1">
      <c r="A98" s="49" t="s">
        <v>6</v>
      </c>
      <c r="B98" s="98" t="s">
        <v>461</v>
      </c>
      <c r="C98" s="98"/>
      <c r="D98" s="98"/>
      <c r="E98" s="98"/>
      <c r="F98" s="98"/>
      <c r="G98" s="98"/>
    </row>
    <row r="99" spans="1:7" ht="15.75">
      <c r="A99" s="49" t="s">
        <v>195</v>
      </c>
      <c r="B99" s="95" t="s">
        <v>259</v>
      </c>
      <c r="C99" s="95"/>
      <c r="D99" s="95"/>
      <c r="E99" s="95"/>
      <c r="F99" s="95"/>
      <c r="G99" s="95"/>
    </row>
    <row r="100" spans="1:7" ht="15.75">
      <c r="A100" s="90" t="str">
        <f>+A37</f>
        <v>Suma ponderada del cumplimiento de metas de los servicios entregados (componentes) de la Contraloría </v>
      </c>
      <c r="B100" s="90"/>
      <c r="C100" s="90"/>
      <c r="D100" s="90"/>
      <c r="E100" s="90"/>
      <c r="F100" s="90"/>
      <c r="G100" s="90"/>
    </row>
    <row r="101" spans="1:7" ht="78" customHeight="1">
      <c r="A101" s="49" t="s">
        <v>193</v>
      </c>
      <c r="B101" s="94" t="s">
        <v>396</v>
      </c>
      <c r="C101" s="94"/>
      <c r="D101" s="94"/>
      <c r="E101" s="94"/>
      <c r="F101" s="94"/>
      <c r="G101" s="94"/>
    </row>
    <row r="102" spans="1:7" ht="15.75">
      <c r="A102" s="49" t="s">
        <v>6</v>
      </c>
      <c r="B102" s="94" t="s">
        <v>397</v>
      </c>
      <c r="C102" s="94"/>
      <c r="D102" s="94"/>
      <c r="E102" s="94"/>
      <c r="F102" s="94"/>
      <c r="G102" s="94"/>
    </row>
    <row r="103" spans="1:7" ht="15.75">
      <c r="A103" s="49" t="s">
        <v>195</v>
      </c>
      <c r="B103" s="95" t="s">
        <v>259</v>
      </c>
      <c r="C103" s="95"/>
      <c r="D103" s="95"/>
      <c r="E103" s="95"/>
      <c r="F103" s="95"/>
      <c r="G103" s="95"/>
    </row>
    <row r="104" spans="1:7" ht="15.75">
      <c r="A104" s="90" t="str">
        <f>+A43</f>
        <v>Porcentaje de recursos auditados.</v>
      </c>
      <c r="B104" s="90"/>
      <c r="C104" s="90"/>
      <c r="D104" s="90"/>
      <c r="E104" s="90"/>
      <c r="F104" s="90"/>
      <c r="G104" s="90"/>
    </row>
    <row r="105" spans="1:7" ht="24.75" customHeight="1">
      <c r="A105" s="49" t="s">
        <v>193</v>
      </c>
      <c r="B105" s="94" t="s">
        <v>398</v>
      </c>
      <c r="C105" s="94"/>
      <c r="D105" s="94"/>
      <c r="E105" s="94"/>
      <c r="F105" s="94"/>
      <c r="G105" s="94"/>
    </row>
    <row r="106" spans="1:7" ht="15.75">
      <c r="A106" s="49" t="s">
        <v>6</v>
      </c>
      <c r="B106" s="94" t="s">
        <v>399</v>
      </c>
      <c r="C106" s="94"/>
      <c r="D106" s="94"/>
      <c r="E106" s="94"/>
      <c r="F106" s="94"/>
      <c r="G106" s="94"/>
    </row>
    <row r="107" spans="1:7" ht="15.75">
      <c r="A107" s="49" t="s">
        <v>195</v>
      </c>
      <c r="B107" s="95" t="s">
        <v>259</v>
      </c>
      <c r="C107" s="95"/>
      <c r="D107" s="95"/>
      <c r="E107" s="95"/>
      <c r="F107" s="95"/>
      <c r="G107" s="95"/>
    </row>
    <row r="108" spans="1:7" ht="15.75">
      <c r="A108" s="90" t="str">
        <f>+A47</f>
        <v>Variación porcentual del número de observaciones emitidas.</v>
      </c>
      <c r="B108" s="90"/>
      <c r="C108" s="90"/>
      <c r="D108" s="90"/>
      <c r="E108" s="90"/>
      <c r="F108" s="90"/>
      <c r="G108" s="90"/>
    </row>
    <row r="109" spans="1:7" ht="27.75" customHeight="1">
      <c r="A109" s="49" t="s">
        <v>193</v>
      </c>
      <c r="B109" s="94" t="s">
        <v>400</v>
      </c>
      <c r="C109" s="94"/>
      <c r="D109" s="94"/>
      <c r="E109" s="94"/>
      <c r="F109" s="94"/>
      <c r="G109" s="94"/>
    </row>
    <row r="110" spans="1:7" ht="15.75">
      <c r="A110" s="49" t="s">
        <v>6</v>
      </c>
      <c r="B110" s="94" t="s">
        <v>401</v>
      </c>
      <c r="C110" s="94"/>
      <c r="D110" s="94"/>
      <c r="E110" s="94"/>
      <c r="F110" s="94"/>
      <c r="G110" s="94"/>
    </row>
    <row r="111" spans="1:7" ht="15.75">
      <c r="A111" s="49" t="s">
        <v>195</v>
      </c>
      <c r="B111" s="95" t="s">
        <v>259</v>
      </c>
      <c r="C111" s="95"/>
      <c r="D111" s="95"/>
      <c r="E111" s="95"/>
      <c r="F111" s="95"/>
      <c r="G111" s="95"/>
    </row>
    <row r="112" spans="1:7" ht="15.75">
      <c r="A112" s="90" t="str">
        <f>+A51</f>
        <v>Porcentaje de procedimientos disciplinarios iniciados</v>
      </c>
      <c r="B112" s="90"/>
      <c r="C112" s="90"/>
      <c r="D112" s="90"/>
      <c r="E112" s="90"/>
      <c r="F112" s="90"/>
      <c r="G112" s="90"/>
    </row>
    <row r="113" spans="1:7" ht="27" customHeight="1">
      <c r="A113" s="49" t="s">
        <v>193</v>
      </c>
      <c r="B113" s="94" t="s">
        <v>402</v>
      </c>
      <c r="C113" s="94"/>
      <c r="D113" s="94"/>
      <c r="E113" s="94"/>
      <c r="F113" s="94"/>
      <c r="G113" s="94"/>
    </row>
    <row r="114" spans="1:7" ht="15.75">
      <c r="A114" s="49" t="s">
        <v>6</v>
      </c>
      <c r="B114" s="94" t="s">
        <v>403</v>
      </c>
      <c r="C114" s="94"/>
      <c r="D114" s="94"/>
      <c r="E114" s="94"/>
      <c r="F114" s="94"/>
      <c r="G114" s="94"/>
    </row>
    <row r="115" spans="1:7" ht="15.75">
      <c r="A115" s="49" t="s">
        <v>195</v>
      </c>
      <c r="B115" s="95" t="s">
        <v>259</v>
      </c>
      <c r="C115" s="95"/>
      <c r="D115" s="95"/>
      <c r="E115" s="95"/>
      <c r="F115" s="95"/>
      <c r="G115" s="95"/>
    </row>
    <row r="116" spans="1:7" ht="15.75">
      <c r="A116" s="90" t="str">
        <f>+A55</f>
        <v>Porcentaje de procedimientos de contratación declarados nulos</v>
      </c>
      <c r="B116" s="90"/>
      <c r="C116" s="90"/>
      <c r="D116" s="90"/>
      <c r="E116" s="90"/>
      <c r="F116" s="90"/>
      <c r="G116" s="90"/>
    </row>
    <row r="117" spans="1:7" ht="31.5" customHeight="1">
      <c r="A117" s="49" t="s">
        <v>193</v>
      </c>
      <c r="B117" s="94" t="s">
        <v>404</v>
      </c>
      <c r="C117" s="94"/>
      <c r="D117" s="94"/>
      <c r="E117" s="94"/>
      <c r="F117" s="94"/>
      <c r="G117" s="94"/>
    </row>
    <row r="118" spans="1:7" ht="31.5" customHeight="1">
      <c r="A118" s="49" t="s">
        <v>6</v>
      </c>
      <c r="B118" s="94" t="s">
        <v>405</v>
      </c>
      <c r="C118" s="94"/>
      <c r="D118" s="94"/>
      <c r="E118" s="94"/>
      <c r="F118" s="94"/>
      <c r="G118" s="94"/>
    </row>
    <row r="119" spans="1:7" ht="15.75">
      <c r="A119" s="49" t="s">
        <v>195</v>
      </c>
      <c r="B119" s="95" t="s">
        <v>259</v>
      </c>
      <c r="C119" s="95"/>
      <c r="D119" s="95"/>
      <c r="E119" s="95"/>
      <c r="F119" s="95"/>
      <c r="G119" s="95"/>
    </row>
    <row r="120" spans="1:7" ht="15.75">
      <c r="A120" s="90" t="str">
        <f>+A59</f>
        <v>Variación porcentual de observaciones preventivas emitidas en órganos colegiados  respecto al periodo inmediato anterior</v>
      </c>
      <c r="B120" s="90"/>
      <c r="C120" s="90"/>
      <c r="D120" s="90"/>
      <c r="E120" s="90"/>
      <c r="F120" s="90"/>
      <c r="G120" s="90"/>
    </row>
    <row r="121" spans="1:7" ht="31.5" customHeight="1">
      <c r="A121" s="49" t="s">
        <v>193</v>
      </c>
      <c r="B121" s="94" t="s">
        <v>406</v>
      </c>
      <c r="C121" s="94"/>
      <c r="D121" s="94"/>
      <c r="E121" s="94"/>
      <c r="F121" s="94"/>
      <c r="G121" s="94"/>
    </row>
    <row r="122" spans="1:7" ht="15.75">
      <c r="A122" s="49" t="s">
        <v>6</v>
      </c>
      <c r="B122" s="94" t="s">
        <v>407</v>
      </c>
      <c r="C122" s="94"/>
      <c r="D122" s="94"/>
      <c r="E122" s="94"/>
      <c r="F122" s="94"/>
      <c r="G122" s="94"/>
    </row>
    <row r="123" spans="1:7" ht="15.75">
      <c r="A123" s="49" t="s">
        <v>195</v>
      </c>
      <c r="B123" s="95" t="s">
        <v>259</v>
      </c>
      <c r="C123" s="95"/>
      <c r="D123" s="95"/>
      <c r="E123" s="95"/>
      <c r="F123" s="95"/>
      <c r="G123" s="95"/>
    </row>
    <row r="124" spans="1:7" ht="15.75">
      <c r="A124" s="90" t="str">
        <f>+A65</f>
        <v>Porcentaje de avance del programa anual de auditorías.</v>
      </c>
      <c r="B124" s="90"/>
      <c r="C124" s="90"/>
      <c r="D124" s="90"/>
      <c r="E124" s="90"/>
      <c r="F124" s="90"/>
      <c r="G124" s="90"/>
    </row>
    <row r="125" spans="1:7" ht="31.5" customHeight="1">
      <c r="A125" s="49" t="s">
        <v>193</v>
      </c>
      <c r="B125" s="94" t="s">
        <v>408</v>
      </c>
      <c r="C125" s="94"/>
      <c r="D125" s="94"/>
      <c r="E125" s="94"/>
      <c r="F125" s="94"/>
      <c r="G125" s="94"/>
    </row>
    <row r="126" spans="1:7" ht="15.75">
      <c r="A126" s="49" t="s">
        <v>6</v>
      </c>
      <c r="B126" s="94" t="s">
        <v>409</v>
      </c>
      <c r="C126" s="94"/>
      <c r="D126" s="94"/>
      <c r="E126" s="94"/>
      <c r="F126" s="94"/>
      <c r="G126" s="94"/>
    </row>
    <row r="127" spans="1:7" ht="15.75">
      <c r="A127" s="49" t="s">
        <v>195</v>
      </c>
      <c r="B127" s="95" t="s">
        <v>259</v>
      </c>
      <c r="C127" s="95"/>
      <c r="D127" s="95"/>
      <c r="E127" s="95"/>
      <c r="F127" s="95"/>
      <c r="G127" s="95"/>
    </row>
    <row r="128" spans="1:7" ht="15.75">
      <c r="A128" s="90" t="str">
        <f>+A69</f>
        <v>Porcentaje de avance del programa anual de revisiones.</v>
      </c>
      <c r="B128" s="90"/>
      <c r="C128" s="90"/>
      <c r="D128" s="90"/>
      <c r="E128" s="90"/>
      <c r="F128" s="90"/>
      <c r="G128" s="90"/>
    </row>
    <row r="129" spans="1:7" ht="31.5" customHeight="1">
      <c r="A129" s="49" t="s">
        <v>193</v>
      </c>
      <c r="B129" s="94" t="s">
        <v>410</v>
      </c>
      <c r="C129" s="94"/>
      <c r="D129" s="94"/>
      <c r="E129" s="94"/>
      <c r="F129" s="94"/>
      <c r="G129" s="94"/>
    </row>
    <row r="130" spans="1:7" ht="15.75">
      <c r="A130" s="49" t="s">
        <v>6</v>
      </c>
      <c r="B130" s="94" t="s">
        <v>411</v>
      </c>
      <c r="C130" s="94"/>
      <c r="D130" s="94"/>
      <c r="E130" s="94"/>
      <c r="F130" s="94"/>
      <c r="G130" s="94"/>
    </row>
    <row r="131" spans="1:7" ht="15.75">
      <c r="A131" s="49" t="s">
        <v>195</v>
      </c>
      <c r="B131" s="95" t="s">
        <v>259</v>
      </c>
      <c r="C131" s="95"/>
      <c r="D131" s="95"/>
      <c r="E131" s="95"/>
      <c r="F131" s="95"/>
      <c r="G131" s="95"/>
    </row>
    <row r="132" spans="1:7" ht="15.75">
      <c r="A132" s="90" t="str">
        <f>+A73</f>
        <v>Porcentaje de avance en el programa anual de seguimientos.</v>
      </c>
      <c r="B132" s="90"/>
      <c r="C132" s="90"/>
      <c r="D132" s="90"/>
      <c r="E132" s="90"/>
      <c r="F132" s="90"/>
      <c r="G132" s="90"/>
    </row>
    <row r="133" spans="1:7" ht="31.5" customHeight="1">
      <c r="A133" s="49" t="s">
        <v>193</v>
      </c>
      <c r="B133" s="94" t="s">
        <v>412</v>
      </c>
      <c r="C133" s="94"/>
      <c r="D133" s="94"/>
      <c r="E133" s="94"/>
      <c r="F133" s="94"/>
      <c r="G133" s="94"/>
    </row>
    <row r="134" spans="1:7" ht="31.5" customHeight="1">
      <c r="A134" s="49" t="s">
        <v>6</v>
      </c>
      <c r="B134" s="94" t="s">
        <v>413</v>
      </c>
      <c r="C134" s="94"/>
      <c r="D134" s="94"/>
      <c r="E134" s="94"/>
      <c r="F134" s="94"/>
      <c r="G134" s="94"/>
    </row>
    <row r="135" spans="1:7" ht="15.75">
      <c r="A135" s="49" t="s">
        <v>195</v>
      </c>
      <c r="B135" s="95" t="s">
        <v>259</v>
      </c>
      <c r="C135" s="95"/>
      <c r="D135" s="95"/>
      <c r="E135" s="95"/>
      <c r="F135" s="95"/>
      <c r="G135" s="95"/>
    </row>
    <row r="136" spans="1:7" ht="15.75">
      <c r="A136" s="90" t="str">
        <f>+A77</f>
        <v>Porcentaje de avance en la atención de quejas y denuncias presentadas por particulares</v>
      </c>
      <c r="B136" s="90"/>
      <c r="C136" s="90"/>
      <c r="D136" s="90"/>
      <c r="E136" s="90"/>
      <c r="F136" s="90"/>
      <c r="G136" s="90"/>
    </row>
    <row r="137" spans="1:7" ht="15.75">
      <c r="A137" s="49" t="s">
        <v>193</v>
      </c>
      <c r="B137" s="94" t="s">
        <v>414</v>
      </c>
      <c r="C137" s="94"/>
      <c r="D137" s="94"/>
      <c r="E137" s="94"/>
      <c r="F137" s="94"/>
      <c r="G137" s="94"/>
    </row>
    <row r="138" spans="1:7" ht="15.75">
      <c r="A138" s="49" t="s">
        <v>6</v>
      </c>
      <c r="B138" s="94" t="s">
        <v>415</v>
      </c>
      <c r="C138" s="94"/>
      <c r="D138" s="94"/>
      <c r="E138" s="94"/>
      <c r="F138" s="94"/>
      <c r="G138" s="94"/>
    </row>
    <row r="139" spans="1:7" ht="15.75">
      <c r="A139" s="49" t="s">
        <v>195</v>
      </c>
      <c r="B139" s="95"/>
      <c r="C139" s="95"/>
      <c r="D139" s="95"/>
      <c r="E139" s="95"/>
      <c r="F139" s="95"/>
      <c r="G139" s="95"/>
    </row>
    <row r="140" spans="1:7" ht="15.75">
      <c r="A140" s="90" t="str">
        <f>+A81</f>
        <v>Porcentaje de avance en la instrucción de procedimientos disciplinarios.</v>
      </c>
      <c r="B140" s="90"/>
      <c r="C140" s="90"/>
      <c r="D140" s="90"/>
      <c r="E140" s="90"/>
      <c r="F140" s="90"/>
      <c r="G140" s="90"/>
    </row>
    <row r="141" spans="1:7" ht="15.75">
      <c r="A141" s="49" t="s">
        <v>193</v>
      </c>
      <c r="B141" s="94" t="s">
        <v>416</v>
      </c>
      <c r="C141" s="94"/>
      <c r="D141" s="94"/>
      <c r="E141" s="94"/>
      <c r="F141" s="94"/>
      <c r="G141" s="94"/>
    </row>
    <row r="142" spans="1:7" ht="15.75">
      <c r="A142" s="49" t="s">
        <v>6</v>
      </c>
      <c r="B142" s="94" t="s">
        <v>417</v>
      </c>
      <c r="C142" s="94"/>
      <c r="D142" s="94"/>
      <c r="E142" s="94"/>
      <c r="F142" s="94"/>
      <c r="G142" s="94"/>
    </row>
    <row r="143" spans="1:7" ht="15.75">
      <c r="A143" s="49" t="s">
        <v>195</v>
      </c>
      <c r="B143" s="95" t="s">
        <v>259</v>
      </c>
      <c r="C143" s="95"/>
      <c r="D143" s="95"/>
      <c r="E143" s="95"/>
      <c r="F143" s="95"/>
      <c r="G143" s="95"/>
    </row>
    <row r="144" spans="1:7" ht="15.75">
      <c r="A144" s="90" t="str">
        <f>+A85</f>
        <v>Porcentaje de atención de procedimientos de sanción a proveedores, licitantes y contratistas</v>
      </c>
      <c r="B144" s="90"/>
      <c r="C144" s="90"/>
      <c r="D144" s="90"/>
      <c r="E144" s="90"/>
      <c r="F144" s="90"/>
      <c r="G144" s="90"/>
    </row>
    <row r="145" spans="1:7" ht="31.5" customHeight="1">
      <c r="A145" s="49" t="s">
        <v>193</v>
      </c>
      <c r="B145" s="94" t="s">
        <v>418</v>
      </c>
      <c r="C145" s="94"/>
      <c r="D145" s="94"/>
      <c r="E145" s="94"/>
      <c r="F145" s="94"/>
      <c r="G145" s="94"/>
    </row>
    <row r="146" spans="1:7" ht="15.75">
      <c r="A146" s="49" t="s">
        <v>6</v>
      </c>
      <c r="B146" s="94" t="s">
        <v>419</v>
      </c>
      <c r="C146" s="94"/>
      <c r="D146" s="94"/>
      <c r="E146" s="94"/>
      <c r="F146" s="94"/>
      <c r="G146" s="94"/>
    </row>
    <row r="147" spans="1:7" ht="15.75">
      <c r="A147" s="49" t="s">
        <v>195</v>
      </c>
      <c r="B147" s="95" t="s">
        <v>259</v>
      </c>
      <c r="C147" s="95"/>
      <c r="D147" s="95"/>
      <c r="E147" s="95"/>
      <c r="F147" s="95"/>
      <c r="G147" s="95"/>
    </row>
    <row r="148" spans="1:7" ht="15.75">
      <c r="A148" s="90" t="str">
        <f>+A89</f>
        <v>Porcentaje de atención de inconformidades e intervenciones de oficio</v>
      </c>
      <c r="B148" s="90"/>
      <c r="C148" s="90"/>
      <c r="D148" s="90"/>
      <c r="E148" s="90"/>
      <c r="F148" s="90"/>
      <c r="G148" s="90"/>
    </row>
    <row r="149" spans="1:7" ht="54.75" customHeight="1">
      <c r="A149" s="49" t="s">
        <v>193</v>
      </c>
      <c r="B149" s="94" t="s">
        <v>420</v>
      </c>
      <c r="C149" s="94"/>
      <c r="D149" s="94"/>
      <c r="E149" s="94"/>
      <c r="F149" s="94"/>
      <c r="G149" s="94"/>
    </row>
    <row r="150" spans="1:7" ht="15.75">
      <c r="A150" s="49" t="s">
        <v>6</v>
      </c>
      <c r="B150" s="94" t="s">
        <v>421</v>
      </c>
      <c r="C150" s="94"/>
      <c r="D150" s="94"/>
      <c r="E150" s="94"/>
      <c r="F150" s="94"/>
      <c r="G150" s="94"/>
    </row>
    <row r="151" spans="1:7" ht="15.75">
      <c r="A151" s="49" t="s">
        <v>195</v>
      </c>
      <c r="B151" s="95" t="s">
        <v>259</v>
      </c>
      <c r="C151" s="95"/>
      <c r="D151" s="95"/>
      <c r="E151" s="95"/>
      <c r="F151" s="95"/>
      <c r="G151" s="95"/>
    </row>
    <row r="152" spans="1:7" ht="15.75">
      <c r="A152" s="90" t="str">
        <f>+A93</f>
        <v>Porcentaje de participación en las sesiones de los órganos colegiados.</v>
      </c>
      <c r="B152" s="90"/>
      <c r="C152" s="90"/>
      <c r="D152" s="90"/>
      <c r="E152" s="90"/>
      <c r="F152" s="90"/>
      <c r="G152" s="90"/>
    </row>
    <row r="153" spans="1:7" ht="15.75">
      <c r="A153" s="49" t="s">
        <v>193</v>
      </c>
      <c r="B153" s="94" t="s">
        <v>422</v>
      </c>
      <c r="C153" s="94"/>
      <c r="D153" s="94"/>
      <c r="E153" s="94"/>
      <c r="F153" s="94"/>
      <c r="G153" s="94"/>
    </row>
    <row r="154" spans="1:7" ht="15.75">
      <c r="A154" s="49" t="s">
        <v>6</v>
      </c>
      <c r="B154" s="94" t="s">
        <v>423</v>
      </c>
      <c r="C154" s="94"/>
      <c r="D154" s="94"/>
      <c r="E154" s="94"/>
      <c r="F154" s="94"/>
      <c r="G154" s="94"/>
    </row>
    <row r="155" spans="1:7" ht="15.75">
      <c r="A155" s="49" t="s">
        <v>195</v>
      </c>
      <c r="B155" s="95" t="s">
        <v>259</v>
      </c>
      <c r="C155" s="95"/>
      <c r="D155" s="95"/>
      <c r="E155" s="95"/>
      <c r="F155" s="95"/>
      <c r="G155" s="95"/>
    </row>
    <row r="156" spans="1:7" ht="15.75">
      <c r="A156" s="96" t="s">
        <v>226</v>
      </c>
      <c r="B156" s="96"/>
      <c r="C156" s="96"/>
      <c r="D156" s="96"/>
      <c r="E156" s="96"/>
      <c r="F156" s="96"/>
      <c r="G156" s="96"/>
    </row>
    <row r="157" spans="1:7" ht="15.75">
      <c r="A157" s="90" t="s">
        <v>353</v>
      </c>
      <c r="B157" s="90"/>
      <c r="C157" s="90"/>
      <c r="D157" s="90"/>
      <c r="E157" s="90"/>
      <c r="F157" s="90"/>
      <c r="G157" s="90"/>
    </row>
    <row r="158" spans="1:7" ht="15.75">
      <c r="A158" s="49" t="s">
        <v>227</v>
      </c>
      <c r="B158" s="91" t="s">
        <v>424</v>
      </c>
      <c r="C158" s="91"/>
      <c r="D158" s="91"/>
      <c r="E158" s="91"/>
      <c r="F158" s="91"/>
      <c r="G158" s="91"/>
    </row>
    <row r="159" spans="1:7" ht="15.75">
      <c r="A159" s="90"/>
      <c r="B159" s="90"/>
      <c r="C159" s="90"/>
      <c r="D159" s="90"/>
      <c r="E159" s="90"/>
      <c r="F159" s="90"/>
      <c r="G159" s="90"/>
    </row>
    <row r="160" spans="1:7" ht="33" customHeight="1">
      <c r="A160" s="196" t="s">
        <v>229</v>
      </c>
      <c r="B160" s="197"/>
      <c r="C160" s="197"/>
      <c r="D160" s="197"/>
      <c r="E160" s="197"/>
      <c r="F160" s="197"/>
      <c r="G160" s="197"/>
    </row>
  </sheetData>
  <sheetProtection/>
  <mergeCells count="261">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B155:G155"/>
    <mergeCell ref="A144:G144"/>
    <mergeCell ref="B145:G145"/>
    <mergeCell ref="B146:G146"/>
    <mergeCell ref="B147:G147"/>
    <mergeCell ref="A148:G148"/>
    <mergeCell ref="B149:G149"/>
    <mergeCell ref="A156:G156"/>
    <mergeCell ref="A157:G157"/>
    <mergeCell ref="B158:G158"/>
    <mergeCell ref="A159:G159"/>
    <mergeCell ref="A160:G160"/>
    <mergeCell ref="B150:G150"/>
    <mergeCell ref="B151:G151"/>
    <mergeCell ref="A152:G152"/>
    <mergeCell ref="B153:G153"/>
    <mergeCell ref="B154:G154"/>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3" manualBreakCount="3">
    <brk id="44" max="255" man="1"/>
    <brk id="90" max="255" man="1"/>
    <brk id="133" max="6" man="1"/>
  </rowBreaks>
</worksheet>
</file>

<file path=xl/worksheets/sheet34.xml><?xml version="1.0" encoding="utf-8"?>
<worksheet xmlns="http://schemas.openxmlformats.org/spreadsheetml/2006/main" xmlns:r="http://schemas.openxmlformats.org/officeDocument/2006/relationships">
  <sheetPr>
    <tabColor rgb="FF00853F"/>
  </sheetPr>
  <dimension ref="A2:G19"/>
  <sheetViews>
    <sheetView showGridLines="0" tabSelected="1" zoomScalePageLayoutView="0" workbookViewId="0" topLeftCell="A1">
      <selection activeCell="A29" sqref="A29:A30"/>
    </sheetView>
  </sheetViews>
  <sheetFormatPr defaultColWidth="11.421875" defaultRowHeight="15"/>
  <cols>
    <col min="1" max="2" width="45.7109375" style="0" bestFit="1" customWidth="1"/>
    <col min="3" max="3" width="40.140625" style="0" customWidth="1"/>
    <col min="4" max="4" width="29.28125" style="0" customWidth="1"/>
    <col min="5" max="5" width="17.8515625" style="0" customWidth="1"/>
  </cols>
  <sheetData>
    <row r="2" spans="1:5" ht="25.5" customHeight="1">
      <c r="A2" s="78" t="s">
        <v>0</v>
      </c>
      <c r="B2" s="79"/>
      <c r="C2" s="82" t="s">
        <v>81</v>
      </c>
      <c r="D2" s="82"/>
      <c r="E2" s="82"/>
    </row>
    <row r="3" spans="1:5" ht="25.5" customHeight="1" thickBot="1">
      <c r="A3" s="80"/>
      <c r="B3" s="81"/>
      <c r="C3" s="83"/>
      <c r="D3" s="83"/>
      <c r="E3" s="83"/>
    </row>
    <row r="4" ht="15.75" thickTop="1"/>
    <row r="8" spans="1:5" ht="15">
      <c r="A8" s="212" t="s">
        <v>37</v>
      </c>
      <c r="B8" s="212"/>
      <c r="C8" s="212"/>
      <c r="D8" s="212"/>
      <c r="E8" s="212"/>
    </row>
    <row r="9" spans="1:5" ht="15">
      <c r="A9" s="212"/>
      <c r="B9" s="212"/>
      <c r="C9" s="212"/>
      <c r="D9" s="212"/>
      <c r="E9" s="212"/>
    </row>
    <row r="10" spans="1:5" ht="15">
      <c r="A10" s="212" t="s">
        <v>38</v>
      </c>
      <c r="B10" s="212"/>
      <c r="C10" s="212"/>
      <c r="D10" s="212"/>
      <c r="E10" s="212"/>
    </row>
    <row r="11" spans="1:5" ht="15">
      <c r="A11" s="212"/>
      <c r="B11" s="212"/>
      <c r="C11" s="212"/>
      <c r="D11" s="212"/>
      <c r="E11" s="212"/>
    </row>
    <row r="12" spans="1:5" ht="15">
      <c r="A12" s="212"/>
      <c r="B12" s="212"/>
      <c r="C12" s="212"/>
      <c r="D12" s="212"/>
      <c r="E12" s="212"/>
    </row>
    <row r="13" spans="1:5" ht="27.75">
      <c r="A13" s="194"/>
      <c r="B13" s="194"/>
      <c r="C13" s="194"/>
      <c r="D13" s="194"/>
      <c r="E13" s="194"/>
    </row>
    <row r="14" spans="1:7" s="2" customFormat="1" ht="19.5">
      <c r="A14"/>
      <c r="B14" s="1" t="s">
        <v>1</v>
      </c>
      <c r="C14" s="1" t="s">
        <v>9</v>
      </c>
      <c r="D14" s="1" t="s">
        <v>10</v>
      </c>
      <c r="G14" s="3"/>
    </row>
    <row r="15" spans="1:7" s="2" customFormat="1" ht="19.5">
      <c r="A15"/>
      <c r="B15" s="1" t="s">
        <v>2</v>
      </c>
      <c r="C15" s="1" t="s">
        <v>2</v>
      </c>
      <c r="D15" s="1" t="s">
        <v>11</v>
      </c>
      <c r="G15" s="3"/>
    </row>
    <row r="16" spans="1:7" s="2" customFormat="1" ht="19.5">
      <c r="A16"/>
      <c r="B16" s="1"/>
      <c r="C16" s="1"/>
      <c r="D16" s="1"/>
      <c r="G16" s="3"/>
    </row>
    <row r="17" spans="1:7" s="2" customFormat="1" ht="21">
      <c r="A17" s="4" t="s">
        <v>3</v>
      </c>
      <c r="B17" s="5">
        <v>48</v>
      </c>
      <c r="C17" s="5">
        <v>58.53302385</v>
      </c>
      <c r="D17" s="6">
        <f>(C17)/B17</f>
        <v>1.219437996875</v>
      </c>
      <c r="G17" s="3"/>
    </row>
    <row r="18" spans="1:7" s="2" customFormat="1" ht="21">
      <c r="A18" s="4" t="s">
        <v>4</v>
      </c>
      <c r="B18" s="5">
        <v>58.53302384999999</v>
      </c>
      <c r="C18" s="5">
        <v>58.53302385</v>
      </c>
      <c r="D18" s="6">
        <f>(C18)/B18</f>
        <v>1.0000000000000002</v>
      </c>
      <c r="G18" s="3"/>
    </row>
    <row r="19" spans="2:4" ht="15">
      <c r="B19" s="7"/>
      <c r="C19" s="7"/>
      <c r="D19" s="7"/>
    </row>
  </sheetData>
  <sheetProtection/>
  <mergeCells count="5">
    <mergeCell ref="A2:B3"/>
    <mergeCell ref="C2:E3"/>
    <mergeCell ref="A8:E9"/>
    <mergeCell ref="A10:E12"/>
    <mergeCell ref="A13:E13"/>
  </mergeCells>
  <printOptions horizontalCentered="1"/>
  <pageMargins left="0.7480314960629921" right="0.7480314960629921" top="0.984251968503937" bottom="0.984251968503937" header="0.5118110236220472" footer="0.5118110236220472"/>
  <pageSetup horizontalDpi="600" verticalDpi="600" orientation="landscape" scale="63" r:id="rId1"/>
</worksheet>
</file>

<file path=xl/worksheets/sheet35.xml><?xml version="1.0" encoding="utf-8"?>
<worksheet xmlns="http://schemas.openxmlformats.org/spreadsheetml/2006/main" xmlns:r="http://schemas.openxmlformats.org/officeDocument/2006/relationships">
  <dimension ref="A1:N28"/>
  <sheetViews>
    <sheetView tabSelected="1" view="pageBreakPreview" zoomScale="60" zoomScalePageLayoutView="0" workbookViewId="0" topLeftCell="A1">
      <selection activeCell="A29" sqref="A29:A30"/>
    </sheetView>
  </sheetViews>
  <sheetFormatPr defaultColWidth="11.421875" defaultRowHeight="15"/>
  <cols>
    <col min="1" max="1" width="11.421875" style="70" customWidth="1"/>
    <col min="2" max="2" width="16.57421875" style="71" customWidth="1"/>
    <col min="3" max="3" width="7.00390625" style="71" customWidth="1"/>
    <col min="4" max="4" width="7.28125" style="71" customWidth="1"/>
    <col min="5" max="5" width="8.421875" style="71" customWidth="1"/>
    <col min="6" max="6" width="8.8515625" style="71" customWidth="1"/>
    <col min="7" max="7" width="9.7109375" style="71" customWidth="1"/>
    <col min="8" max="8" width="9.8515625" style="71" customWidth="1"/>
    <col min="9" max="9" width="9.7109375" style="71" customWidth="1"/>
    <col min="10" max="10" width="9.57421875" style="71" customWidth="1"/>
    <col min="11" max="11" width="9.7109375" style="71" customWidth="1"/>
    <col min="12" max="12" width="7.8515625" style="71" customWidth="1"/>
    <col min="13" max="13" width="10.140625" style="71" customWidth="1"/>
    <col min="14" max="14" width="10.57421875" style="71" customWidth="1"/>
    <col min="15" max="16384" width="11.421875" style="70" customWidth="1"/>
  </cols>
  <sheetData>
    <row r="1" spans="1:14" s="58" customFormat="1" ht="34.5" customHeight="1">
      <c r="A1" s="186" t="s">
        <v>81</v>
      </c>
      <c r="B1" s="186"/>
      <c r="C1" s="186"/>
      <c r="D1" s="186"/>
      <c r="E1" s="186"/>
      <c r="F1" s="186"/>
      <c r="G1" s="186"/>
      <c r="H1" s="186"/>
      <c r="I1" s="186"/>
      <c r="J1" s="186"/>
      <c r="K1" s="186"/>
      <c r="L1" s="186"/>
      <c r="M1" s="186"/>
      <c r="N1" s="186"/>
    </row>
    <row r="2" spans="1:14" s="58" customFormat="1" ht="37.5" customHeight="1">
      <c r="A2" s="186" t="s">
        <v>82</v>
      </c>
      <c r="B2" s="186"/>
      <c r="C2" s="186"/>
      <c r="D2" s="186"/>
      <c r="E2" s="186"/>
      <c r="F2" s="186"/>
      <c r="G2" s="186"/>
      <c r="H2" s="186"/>
      <c r="I2" s="186"/>
      <c r="J2" s="186"/>
      <c r="K2" s="186"/>
      <c r="L2" s="186"/>
      <c r="M2" s="186"/>
      <c r="N2" s="186"/>
    </row>
    <row r="3" s="59" customFormat="1" ht="12" thickBot="1"/>
    <row r="4" spans="2:14" ht="84" customHeight="1" thickBot="1">
      <c r="B4" s="9" t="s">
        <v>41</v>
      </c>
      <c r="C4" s="286" t="s">
        <v>42</v>
      </c>
      <c r="D4" s="287"/>
      <c r="E4" s="287"/>
      <c r="F4" s="288"/>
      <c r="G4" s="253" t="s">
        <v>43</v>
      </c>
      <c r="H4" s="254"/>
      <c r="I4" s="250" t="s">
        <v>40</v>
      </c>
      <c r="J4" s="251"/>
      <c r="K4" s="251"/>
      <c r="L4" s="251"/>
      <c r="M4" s="251"/>
      <c r="N4" s="252"/>
    </row>
    <row r="5" spans="2:14" ht="30" customHeight="1" thickBot="1">
      <c r="B5" s="280" t="s">
        <v>44</v>
      </c>
      <c r="C5" s="281"/>
      <c r="D5" s="281"/>
      <c r="E5" s="281"/>
      <c r="F5" s="282"/>
      <c r="G5" s="250" t="s">
        <v>45</v>
      </c>
      <c r="H5" s="251"/>
      <c r="I5" s="251"/>
      <c r="J5" s="251"/>
      <c r="K5" s="251"/>
      <c r="L5" s="251"/>
      <c r="M5" s="251"/>
      <c r="N5" s="252"/>
    </row>
    <row r="6" spans="2:14" ht="38.25" customHeight="1" thickBot="1">
      <c r="B6" s="280" t="s">
        <v>46</v>
      </c>
      <c r="C6" s="281"/>
      <c r="D6" s="281"/>
      <c r="E6" s="281"/>
      <c r="F6" s="282"/>
      <c r="G6" s="250" t="s">
        <v>39</v>
      </c>
      <c r="H6" s="251"/>
      <c r="I6" s="251"/>
      <c r="J6" s="251"/>
      <c r="K6" s="251"/>
      <c r="L6" s="251"/>
      <c r="M6" s="251"/>
      <c r="N6" s="252"/>
    </row>
    <row r="7" spans="2:14" ht="42" customHeight="1" thickBot="1">
      <c r="B7" s="280" t="s">
        <v>47</v>
      </c>
      <c r="C7" s="281"/>
      <c r="D7" s="281"/>
      <c r="E7" s="281"/>
      <c r="F7" s="282"/>
      <c r="G7" s="283" t="s">
        <v>39</v>
      </c>
      <c r="H7" s="284"/>
      <c r="I7" s="284"/>
      <c r="J7" s="284"/>
      <c r="K7" s="284"/>
      <c r="L7" s="284"/>
      <c r="M7" s="284"/>
      <c r="N7" s="285"/>
    </row>
    <row r="8" spans="2:14" ht="42" customHeight="1" thickBot="1">
      <c r="B8" s="280" t="s">
        <v>92</v>
      </c>
      <c r="C8" s="281"/>
      <c r="D8" s="281"/>
      <c r="E8" s="281"/>
      <c r="F8" s="282"/>
      <c r="G8" s="283" t="s">
        <v>39</v>
      </c>
      <c r="H8" s="284"/>
      <c r="I8" s="284"/>
      <c r="J8" s="284"/>
      <c r="K8" s="284"/>
      <c r="L8" s="284"/>
      <c r="M8" s="284"/>
      <c r="N8" s="285"/>
    </row>
    <row r="9" spans="2:14" ht="25.5" customHeight="1" thickBot="1">
      <c r="B9" s="253" t="s">
        <v>48</v>
      </c>
      <c r="C9" s="255"/>
      <c r="D9" s="255"/>
      <c r="E9" s="255"/>
      <c r="F9" s="254"/>
      <c r="G9" s="253" t="s">
        <v>49</v>
      </c>
      <c r="H9" s="255"/>
      <c r="I9" s="254"/>
      <c r="J9" s="253" t="s">
        <v>50</v>
      </c>
      <c r="K9" s="255"/>
      <c r="L9" s="254"/>
      <c r="M9" s="253" t="s">
        <v>51</v>
      </c>
      <c r="N9" s="254"/>
    </row>
    <row r="10" spans="2:14" ht="36.75" customHeight="1" thickBot="1">
      <c r="B10" s="270" t="s">
        <v>52</v>
      </c>
      <c r="C10" s="271"/>
      <c r="D10" s="271"/>
      <c r="E10" s="271"/>
      <c r="F10" s="272"/>
      <c r="G10" s="273">
        <f>'K025'!B17*1000000</f>
        <v>48000000</v>
      </c>
      <c r="H10" s="274"/>
      <c r="I10" s="275"/>
      <c r="J10" s="273">
        <f>'K025'!C17*1000000</f>
        <v>58533023.85</v>
      </c>
      <c r="K10" s="274"/>
      <c r="L10" s="275"/>
      <c r="M10" s="276">
        <f>(J10/G10)*100</f>
        <v>121.9437996875</v>
      </c>
      <c r="N10" s="277"/>
    </row>
    <row r="11" spans="2:14" ht="36.75" customHeight="1" thickBot="1">
      <c r="B11" s="270" t="s">
        <v>53</v>
      </c>
      <c r="C11" s="271"/>
      <c r="D11" s="271"/>
      <c r="E11" s="271"/>
      <c r="F11" s="272"/>
      <c r="G11" s="273">
        <f>'K025'!B18*1000000</f>
        <v>58533023.849999994</v>
      </c>
      <c r="H11" s="274"/>
      <c r="I11" s="275"/>
      <c r="J11" s="273">
        <f>'K025'!C18*1000000</f>
        <v>58533023.85</v>
      </c>
      <c r="K11" s="274"/>
      <c r="L11" s="275"/>
      <c r="M11" s="278">
        <f>(J11/G11)*100</f>
        <v>100.00000000000003</v>
      </c>
      <c r="N11" s="279"/>
    </row>
    <row r="12" spans="2:14" ht="25.5" customHeight="1" thickBot="1">
      <c r="B12" s="253" t="s">
        <v>54</v>
      </c>
      <c r="C12" s="255"/>
      <c r="D12" s="255"/>
      <c r="E12" s="255"/>
      <c r="F12" s="255"/>
      <c r="G12" s="255"/>
      <c r="H12" s="255"/>
      <c r="I12" s="255"/>
      <c r="J12" s="255"/>
      <c r="K12" s="255"/>
      <c r="L12" s="255"/>
      <c r="M12" s="255"/>
      <c r="N12" s="254"/>
    </row>
    <row r="13" spans="2:14" ht="25.5" customHeight="1" thickBot="1">
      <c r="B13" s="253" t="s">
        <v>55</v>
      </c>
      <c r="C13" s="255"/>
      <c r="D13" s="255"/>
      <c r="E13" s="255"/>
      <c r="F13" s="255"/>
      <c r="G13" s="255"/>
      <c r="H13" s="255"/>
      <c r="I13" s="255"/>
      <c r="J13" s="255"/>
      <c r="K13" s="255"/>
      <c r="L13" s="255"/>
      <c r="M13" s="255"/>
      <c r="N13" s="254"/>
    </row>
    <row r="14" spans="2:14" ht="44.25" customHeight="1" thickBot="1">
      <c r="B14" s="250" t="s">
        <v>1855</v>
      </c>
      <c r="C14" s="251"/>
      <c r="D14" s="251"/>
      <c r="E14" s="251"/>
      <c r="F14" s="251"/>
      <c r="G14" s="251"/>
      <c r="H14" s="251"/>
      <c r="I14" s="251"/>
      <c r="J14" s="251"/>
      <c r="K14" s="251"/>
      <c r="L14" s="251"/>
      <c r="M14" s="251"/>
      <c r="N14" s="252"/>
    </row>
    <row r="15" spans="2:14" ht="33" customHeight="1" thickBot="1">
      <c r="B15" s="253" t="s">
        <v>56</v>
      </c>
      <c r="C15" s="255"/>
      <c r="D15" s="254"/>
      <c r="E15" s="250" t="s">
        <v>57</v>
      </c>
      <c r="F15" s="251"/>
      <c r="G15" s="251"/>
      <c r="H15" s="252"/>
      <c r="I15" s="253" t="s">
        <v>58</v>
      </c>
      <c r="J15" s="255"/>
      <c r="K15" s="254"/>
      <c r="L15" s="250" t="s">
        <v>59</v>
      </c>
      <c r="M15" s="251"/>
      <c r="N15" s="252"/>
    </row>
    <row r="16" spans="2:14" ht="30" customHeight="1" thickBot="1">
      <c r="B16" s="253" t="s">
        <v>60</v>
      </c>
      <c r="C16" s="255"/>
      <c r="D16" s="254"/>
      <c r="E16" s="250" t="s">
        <v>61</v>
      </c>
      <c r="F16" s="251"/>
      <c r="G16" s="251"/>
      <c r="H16" s="252"/>
      <c r="I16" s="253" t="s">
        <v>62</v>
      </c>
      <c r="J16" s="255"/>
      <c r="K16" s="254"/>
      <c r="L16" s="250" t="s">
        <v>63</v>
      </c>
      <c r="M16" s="251"/>
      <c r="N16" s="252"/>
    </row>
    <row r="17" spans="2:14" ht="25.5" customHeight="1" thickBot="1">
      <c r="B17" s="253" t="s">
        <v>64</v>
      </c>
      <c r="C17" s="255"/>
      <c r="D17" s="255"/>
      <c r="E17" s="255"/>
      <c r="F17" s="255"/>
      <c r="G17" s="255"/>
      <c r="H17" s="255"/>
      <c r="I17" s="255"/>
      <c r="J17" s="255"/>
      <c r="K17" s="255"/>
      <c r="L17" s="255"/>
      <c r="M17" s="255"/>
      <c r="N17" s="254"/>
    </row>
    <row r="18" spans="2:14" ht="48" customHeight="1" thickBot="1">
      <c r="B18" s="250" t="s">
        <v>1856</v>
      </c>
      <c r="C18" s="251"/>
      <c r="D18" s="251"/>
      <c r="E18" s="251"/>
      <c r="F18" s="251"/>
      <c r="G18" s="251"/>
      <c r="H18" s="251"/>
      <c r="I18" s="251"/>
      <c r="J18" s="251"/>
      <c r="K18" s="251"/>
      <c r="L18" s="251"/>
      <c r="M18" s="251"/>
      <c r="N18" s="252"/>
    </row>
    <row r="19" spans="2:14" ht="24.75" customHeight="1" thickBot="1">
      <c r="B19" s="253" t="s">
        <v>65</v>
      </c>
      <c r="C19" s="255"/>
      <c r="D19" s="255"/>
      <c r="E19" s="255"/>
      <c r="F19" s="255"/>
      <c r="G19" s="255"/>
      <c r="H19" s="255"/>
      <c r="I19" s="255"/>
      <c r="J19" s="255"/>
      <c r="K19" s="255"/>
      <c r="L19" s="255"/>
      <c r="M19" s="255"/>
      <c r="N19" s="254"/>
    </row>
    <row r="20" spans="2:14" ht="32.25" customHeight="1" thickBot="1">
      <c r="B20" s="250" t="s">
        <v>1857</v>
      </c>
      <c r="C20" s="251"/>
      <c r="D20" s="251"/>
      <c r="E20" s="251"/>
      <c r="F20" s="251"/>
      <c r="G20" s="251"/>
      <c r="H20" s="251"/>
      <c r="I20" s="251"/>
      <c r="J20" s="251"/>
      <c r="K20" s="251"/>
      <c r="L20" s="251"/>
      <c r="M20" s="251"/>
      <c r="N20" s="252"/>
    </row>
    <row r="21" spans="2:14" ht="60" customHeight="1" thickBot="1">
      <c r="B21" s="253" t="s">
        <v>66</v>
      </c>
      <c r="C21" s="254"/>
      <c r="D21" s="250" t="s">
        <v>5</v>
      </c>
      <c r="E21" s="251"/>
      <c r="F21" s="251"/>
      <c r="G21" s="252"/>
      <c r="H21" s="253" t="s">
        <v>67</v>
      </c>
      <c r="I21" s="255"/>
      <c r="J21" s="254"/>
      <c r="K21" s="250" t="s">
        <v>1858</v>
      </c>
      <c r="L21" s="251"/>
      <c r="M21" s="251"/>
      <c r="N21" s="252"/>
    </row>
    <row r="22" spans="2:14" ht="25.5" customHeight="1" thickBot="1">
      <c r="B22" s="253" t="s">
        <v>68</v>
      </c>
      <c r="C22" s="255"/>
      <c r="D22" s="255"/>
      <c r="E22" s="255"/>
      <c r="F22" s="255"/>
      <c r="G22" s="254"/>
      <c r="H22" s="253" t="s">
        <v>69</v>
      </c>
      <c r="I22" s="255"/>
      <c r="J22" s="255"/>
      <c r="K22" s="255"/>
      <c r="L22" s="255"/>
      <c r="M22" s="255"/>
      <c r="N22" s="254"/>
    </row>
    <row r="23" spans="2:14" ht="60" customHeight="1" thickBot="1">
      <c r="B23" s="250" t="s">
        <v>70</v>
      </c>
      <c r="C23" s="251"/>
      <c r="D23" s="252"/>
      <c r="E23" s="250" t="s">
        <v>71</v>
      </c>
      <c r="F23" s="251"/>
      <c r="G23" s="252"/>
      <c r="H23" s="250" t="s">
        <v>72</v>
      </c>
      <c r="I23" s="252"/>
      <c r="J23" s="250" t="s">
        <v>73</v>
      </c>
      <c r="K23" s="251"/>
      <c r="L23" s="252"/>
      <c r="M23" s="250" t="s">
        <v>74</v>
      </c>
      <c r="N23" s="252"/>
    </row>
    <row r="24" spans="2:14" ht="38.25" customHeight="1" thickBot="1">
      <c r="B24" s="250">
        <v>2017</v>
      </c>
      <c r="C24" s="251"/>
      <c r="D24" s="252"/>
      <c r="E24" s="259">
        <v>100</v>
      </c>
      <c r="F24" s="260"/>
      <c r="G24" s="261"/>
      <c r="H24" s="262" t="s">
        <v>1859</v>
      </c>
      <c r="I24" s="263"/>
      <c r="J24" s="264">
        <f>(58533023.85/48000000)*100</f>
        <v>121.9437996875</v>
      </c>
      <c r="K24" s="265"/>
      <c r="L24" s="266"/>
      <c r="M24" s="245">
        <f>+IF(ISERR(J24/E24*100),"N/A",J24/E24*100)</f>
        <v>121.9437996875</v>
      </c>
      <c r="N24" s="246"/>
    </row>
    <row r="25" spans="2:14" ht="24.75" customHeight="1" thickBot="1">
      <c r="B25" s="247" t="s">
        <v>75</v>
      </c>
      <c r="C25" s="248"/>
      <c r="D25" s="248"/>
      <c r="E25" s="248"/>
      <c r="F25" s="248"/>
      <c r="G25" s="248"/>
      <c r="H25" s="248"/>
      <c r="I25" s="248"/>
      <c r="J25" s="248"/>
      <c r="K25" s="248"/>
      <c r="L25" s="248"/>
      <c r="M25" s="248"/>
      <c r="N25" s="249"/>
    </row>
    <row r="26" spans="2:14" ht="74.25" customHeight="1" thickBot="1">
      <c r="B26" s="10" t="s">
        <v>76</v>
      </c>
      <c r="C26" s="267" t="s">
        <v>1870</v>
      </c>
      <c r="D26" s="268"/>
      <c r="E26" s="268"/>
      <c r="F26" s="268"/>
      <c r="G26" s="268"/>
      <c r="H26" s="268"/>
      <c r="I26" s="268"/>
      <c r="J26" s="268"/>
      <c r="K26" s="268"/>
      <c r="L26" s="268"/>
      <c r="M26" s="268"/>
      <c r="N26" s="269"/>
    </row>
    <row r="27" spans="2:14" ht="74.25" customHeight="1" thickBot="1">
      <c r="B27" s="11" t="s">
        <v>6</v>
      </c>
      <c r="C27" s="267" t="s">
        <v>1871</v>
      </c>
      <c r="D27" s="268"/>
      <c r="E27" s="268"/>
      <c r="F27" s="268"/>
      <c r="G27" s="268"/>
      <c r="H27" s="268"/>
      <c r="I27" s="268"/>
      <c r="J27" s="268"/>
      <c r="K27" s="268"/>
      <c r="L27" s="268"/>
      <c r="M27" s="268"/>
      <c r="N27" s="269"/>
    </row>
    <row r="28" spans="2:14" ht="48" customHeight="1" thickBot="1">
      <c r="B28" s="12" t="s">
        <v>77</v>
      </c>
      <c r="C28" s="256"/>
      <c r="D28" s="257"/>
      <c r="E28" s="257"/>
      <c r="F28" s="257"/>
      <c r="G28" s="257"/>
      <c r="H28" s="257"/>
      <c r="I28" s="257"/>
      <c r="J28" s="257"/>
      <c r="K28" s="257"/>
      <c r="L28" s="257"/>
      <c r="M28" s="257"/>
      <c r="N28" s="258"/>
    </row>
  </sheetData>
  <sheetProtection/>
  <mergeCells count="60">
    <mergeCell ref="C4:F4"/>
    <mergeCell ref="G4:H4"/>
    <mergeCell ref="I4:N4"/>
    <mergeCell ref="B5:F5"/>
    <mergeCell ref="G5:N5"/>
    <mergeCell ref="B6:F6"/>
    <mergeCell ref="G6:N6"/>
    <mergeCell ref="B7:F7"/>
    <mergeCell ref="G7:N7"/>
    <mergeCell ref="B9:F9"/>
    <mergeCell ref="G9:I9"/>
    <mergeCell ref="J9:L9"/>
    <mergeCell ref="M9:N9"/>
    <mergeCell ref="B8:F8"/>
    <mergeCell ref="G8:N8"/>
    <mergeCell ref="B10:F10"/>
    <mergeCell ref="G10:I10"/>
    <mergeCell ref="J10:L10"/>
    <mergeCell ref="M10:N10"/>
    <mergeCell ref="B11:F11"/>
    <mergeCell ref="G11:I11"/>
    <mergeCell ref="J11:L11"/>
    <mergeCell ref="M11:N11"/>
    <mergeCell ref="B12:N12"/>
    <mergeCell ref="B13:N13"/>
    <mergeCell ref="B14:N14"/>
    <mergeCell ref="B15:D15"/>
    <mergeCell ref="E15:H15"/>
    <mergeCell ref="I15:K15"/>
    <mergeCell ref="L15:N15"/>
    <mergeCell ref="E16:H16"/>
    <mergeCell ref="I16:K16"/>
    <mergeCell ref="L16:N16"/>
    <mergeCell ref="H23:I23"/>
    <mergeCell ref="J23:L23"/>
    <mergeCell ref="M23:N23"/>
    <mergeCell ref="B18:N18"/>
    <mergeCell ref="B19:N19"/>
    <mergeCell ref="B23:D23"/>
    <mergeCell ref="E23:G23"/>
    <mergeCell ref="C28:N28"/>
    <mergeCell ref="B24:D24"/>
    <mergeCell ref="E24:G24"/>
    <mergeCell ref="H24:I24"/>
    <mergeCell ref="J24:L24"/>
    <mergeCell ref="B17:N17"/>
    <mergeCell ref="C26:N26"/>
    <mergeCell ref="C27:N27"/>
    <mergeCell ref="B22:G22"/>
    <mergeCell ref="H22:N22"/>
    <mergeCell ref="M24:N24"/>
    <mergeCell ref="B25:N25"/>
    <mergeCell ref="A1:N1"/>
    <mergeCell ref="A2:N2"/>
    <mergeCell ref="B20:N20"/>
    <mergeCell ref="B21:C21"/>
    <mergeCell ref="D21:G21"/>
    <mergeCell ref="H21:J21"/>
    <mergeCell ref="K21:N21"/>
    <mergeCell ref="B16:D16"/>
  </mergeCells>
  <printOptions horizontalCentered="1"/>
  <pageMargins left="0.7480314960629921" right="0.7480314960629921" top="0.984251968503937" bottom="0.984251968503937" header="0.5118110236220472" footer="0.5118110236220472"/>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dimension ref="A1:H175"/>
  <sheetViews>
    <sheetView showGridLines="0" tabSelected="1" view="pageBreakPreview" zoomScale="80" zoomScaleSheetLayoutView="80" zoomScalePageLayoutView="0" workbookViewId="0" topLeftCell="A148">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1371</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31.5" customHeight="1">
      <c r="A8" s="137" t="s">
        <v>90</v>
      </c>
      <c r="B8" s="138"/>
      <c r="C8" s="139"/>
      <c r="D8" s="140" t="s">
        <v>1372</v>
      </c>
      <c r="E8" s="141"/>
      <c r="F8" s="141"/>
      <c r="G8" s="142"/>
    </row>
    <row r="9" spans="1:7" ht="15.75" customHeight="1">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40"/>
      <c r="B15" s="168" t="s">
        <v>1373</v>
      </c>
      <c r="C15" s="168"/>
      <c r="D15" s="168"/>
      <c r="E15" s="168"/>
      <c r="F15" s="168"/>
      <c r="G15" s="169"/>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45</v>
      </c>
    </row>
    <row r="30" spans="1:7" ht="15.75">
      <c r="A30" s="105"/>
      <c r="B30" s="105"/>
      <c r="C30" s="105"/>
      <c r="D30" s="105"/>
      <c r="E30" s="105"/>
      <c r="F30" s="45" t="s">
        <v>124</v>
      </c>
      <c r="G30" s="46">
        <v>45</v>
      </c>
    </row>
    <row r="31" spans="1:7" ht="52.5" customHeight="1">
      <c r="A31" s="100" t="s">
        <v>1374</v>
      </c>
      <c r="B31" s="100" t="s">
        <v>1375</v>
      </c>
      <c r="C31" s="100" t="s">
        <v>1376</v>
      </c>
      <c r="D31" s="102" t="s">
        <v>128</v>
      </c>
      <c r="E31" s="102" t="s">
        <v>129</v>
      </c>
      <c r="F31" s="45" t="s">
        <v>130</v>
      </c>
      <c r="G31" s="47">
        <f>0.3*54.7733734085976+0.3*78.4487429748618+0.2*51.8677504208754+0.2*50.1614150628449</f>
        <v>60.372468011781876</v>
      </c>
    </row>
    <row r="32" spans="1:7" ht="52.5" customHeight="1">
      <c r="A32" s="101"/>
      <c r="B32" s="101"/>
      <c r="C32" s="101"/>
      <c r="D32" s="103"/>
      <c r="E32" s="103"/>
      <c r="F32" s="45" t="s">
        <v>131</v>
      </c>
      <c r="G32" s="47">
        <v>134.16104002618195</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70</v>
      </c>
    </row>
    <row r="36" spans="1:7" ht="15.75">
      <c r="A36" s="105"/>
      <c r="B36" s="105"/>
      <c r="C36" s="105"/>
      <c r="D36" s="105"/>
      <c r="E36" s="105"/>
      <c r="F36" s="45" t="s">
        <v>124</v>
      </c>
      <c r="G36" s="46">
        <v>70</v>
      </c>
    </row>
    <row r="37" spans="1:7" ht="33" customHeight="1">
      <c r="A37" s="100" t="s">
        <v>1377</v>
      </c>
      <c r="B37" s="100" t="s">
        <v>1378</v>
      </c>
      <c r="C37" s="100" t="s">
        <v>1379</v>
      </c>
      <c r="D37" s="102" t="s">
        <v>5</v>
      </c>
      <c r="E37" s="102" t="s">
        <v>129</v>
      </c>
      <c r="F37" s="45" t="s">
        <v>130</v>
      </c>
      <c r="G37" s="47">
        <f>(112/148)*100</f>
        <v>75.67567567567568</v>
      </c>
    </row>
    <row r="38" spans="1:7" ht="33" customHeight="1">
      <c r="A38" s="101"/>
      <c r="B38" s="101"/>
      <c r="C38" s="101"/>
      <c r="D38" s="103"/>
      <c r="E38" s="103"/>
      <c r="F38" s="45" t="s">
        <v>131</v>
      </c>
      <c r="G38" s="47">
        <v>108.10810810810811</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100</v>
      </c>
    </row>
    <row r="42" spans="1:7" ht="15.75">
      <c r="A42" s="105"/>
      <c r="B42" s="105"/>
      <c r="C42" s="105"/>
      <c r="D42" s="105"/>
      <c r="E42" s="105"/>
      <c r="F42" s="45" t="s">
        <v>124</v>
      </c>
      <c r="G42" s="46">
        <v>100</v>
      </c>
    </row>
    <row r="43" spans="1:7" ht="15.75" customHeight="1">
      <c r="A43" s="100" t="s">
        <v>1380</v>
      </c>
      <c r="B43" s="100" t="s">
        <v>1381</v>
      </c>
      <c r="C43" s="100" t="s">
        <v>1382</v>
      </c>
      <c r="D43" s="102" t="s">
        <v>5</v>
      </c>
      <c r="E43" s="102" t="s">
        <v>142</v>
      </c>
      <c r="F43" s="45" t="s">
        <v>130</v>
      </c>
      <c r="G43" s="47">
        <f>161/161*100</f>
        <v>100</v>
      </c>
    </row>
    <row r="44" spans="1:7" ht="27">
      <c r="A44" s="101"/>
      <c r="B44" s="101"/>
      <c r="C44" s="101"/>
      <c r="D44" s="103"/>
      <c r="E44" s="103"/>
      <c r="F44" s="45" t="s">
        <v>131</v>
      </c>
      <c r="G44" s="47">
        <f>(G43/G42)*100</f>
        <v>100</v>
      </c>
    </row>
    <row r="45" spans="1:7" ht="15.75" customHeight="1">
      <c r="A45" s="104" t="s">
        <v>119</v>
      </c>
      <c r="B45" s="104" t="s">
        <v>120</v>
      </c>
      <c r="C45" s="104" t="s">
        <v>65</v>
      </c>
      <c r="D45" s="104" t="s">
        <v>121</v>
      </c>
      <c r="E45" s="104" t="s">
        <v>122</v>
      </c>
      <c r="F45" s="45" t="s">
        <v>123</v>
      </c>
      <c r="G45" s="46">
        <v>80</v>
      </c>
    </row>
    <row r="46" spans="1:7" ht="15.75">
      <c r="A46" s="105"/>
      <c r="B46" s="105"/>
      <c r="C46" s="105"/>
      <c r="D46" s="105"/>
      <c r="E46" s="105"/>
      <c r="F46" s="45" t="s">
        <v>124</v>
      </c>
      <c r="G46" s="46">
        <v>80</v>
      </c>
    </row>
    <row r="47" spans="1:7" ht="15.75" customHeight="1">
      <c r="A47" s="100" t="s">
        <v>1383</v>
      </c>
      <c r="B47" s="100" t="s">
        <v>1384</v>
      </c>
      <c r="C47" s="100" t="s">
        <v>1385</v>
      </c>
      <c r="D47" s="102" t="s">
        <v>149</v>
      </c>
      <c r="E47" s="102" t="s">
        <v>913</v>
      </c>
      <c r="F47" s="45" t="s">
        <v>130</v>
      </c>
      <c r="G47" s="47">
        <f>(112/148)*100</f>
        <v>75.67567567567568</v>
      </c>
    </row>
    <row r="48" spans="1:7" ht="27">
      <c r="A48" s="101"/>
      <c r="B48" s="101"/>
      <c r="C48" s="101"/>
      <c r="D48" s="103"/>
      <c r="E48" s="103"/>
      <c r="F48" s="45" t="s">
        <v>131</v>
      </c>
      <c r="G48" s="47">
        <f>(G47/G46)*100</f>
        <v>94.5945945945946</v>
      </c>
    </row>
    <row r="49" spans="1:7" ht="15.75">
      <c r="A49" s="96" t="s">
        <v>303</v>
      </c>
      <c r="B49" s="96"/>
      <c r="C49" s="96"/>
      <c r="D49" s="96"/>
      <c r="E49" s="96"/>
      <c r="F49" s="96"/>
      <c r="G49" s="96"/>
    </row>
    <row r="50" spans="1:7" ht="15.75">
      <c r="A50" s="106" t="s">
        <v>117</v>
      </c>
      <c r="B50" s="106"/>
      <c r="C50" s="106"/>
      <c r="D50" s="106"/>
      <c r="E50" s="106"/>
      <c r="F50" s="106" t="s">
        <v>118</v>
      </c>
      <c r="G50" s="106"/>
    </row>
    <row r="51" spans="1:7" ht="15.75" customHeight="1">
      <c r="A51" s="104" t="s">
        <v>119</v>
      </c>
      <c r="B51" s="104" t="s">
        <v>120</v>
      </c>
      <c r="C51" s="104" t="s">
        <v>65</v>
      </c>
      <c r="D51" s="104" t="s">
        <v>121</v>
      </c>
      <c r="E51" s="104" t="s">
        <v>122</v>
      </c>
      <c r="F51" s="45" t="s">
        <v>123</v>
      </c>
      <c r="G51" s="46">
        <v>85</v>
      </c>
    </row>
    <row r="52" spans="1:7" ht="15.75">
      <c r="A52" s="105"/>
      <c r="B52" s="105"/>
      <c r="C52" s="105"/>
      <c r="D52" s="105"/>
      <c r="E52" s="105"/>
      <c r="F52" s="45" t="s">
        <v>124</v>
      </c>
      <c r="G52" s="46">
        <v>85</v>
      </c>
    </row>
    <row r="53" spans="1:7" ht="15.75" customHeight="1">
      <c r="A53" s="100" t="s">
        <v>1386</v>
      </c>
      <c r="B53" s="100" t="s">
        <v>1387</v>
      </c>
      <c r="C53" s="100" t="s">
        <v>1388</v>
      </c>
      <c r="D53" s="102" t="s">
        <v>5</v>
      </c>
      <c r="E53" s="102" t="s">
        <v>298</v>
      </c>
      <c r="F53" s="45" t="s">
        <v>130</v>
      </c>
      <c r="G53" s="47">
        <f>(174/200)*100</f>
        <v>87</v>
      </c>
    </row>
    <row r="54" spans="1:7" ht="27">
      <c r="A54" s="101"/>
      <c r="B54" s="101"/>
      <c r="C54" s="101"/>
      <c r="D54" s="103"/>
      <c r="E54" s="103"/>
      <c r="F54" s="45" t="s">
        <v>131</v>
      </c>
      <c r="G54" s="47">
        <f>(G53/G52)*100</f>
        <v>102.35294117647058</v>
      </c>
    </row>
    <row r="55" spans="1:7" ht="15.75" customHeight="1">
      <c r="A55" s="104" t="s">
        <v>119</v>
      </c>
      <c r="B55" s="104" t="s">
        <v>120</v>
      </c>
      <c r="C55" s="104" t="s">
        <v>65</v>
      </c>
      <c r="D55" s="104" t="s">
        <v>121</v>
      </c>
      <c r="E55" s="104" t="s">
        <v>122</v>
      </c>
      <c r="F55" s="45" t="s">
        <v>123</v>
      </c>
      <c r="G55" s="46">
        <v>85</v>
      </c>
    </row>
    <row r="56" spans="1:7" ht="15.75">
      <c r="A56" s="105"/>
      <c r="B56" s="105"/>
      <c r="C56" s="105"/>
      <c r="D56" s="105"/>
      <c r="E56" s="105"/>
      <c r="F56" s="45" t="s">
        <v>124</v>
      </c>
      <c r="G56" s="46">
        <v>85</v>
      </c>
    </row>
    <row r="57" spans="1:7" ht="15.75" customHeight="1">
      <c r="A57" s="100" t="s">
        <v>1389</v>
      </c>
      <c r="B57" s="100" t="s">
        <v>1387</v>
      </c>
      <c r="C57" s="100" t="s">
        <v>1388</v>
      </c>
      <c r="D57" s="102" t="s">
        <v>5</v>
      </c>
      <c r="E57" s="102" t="s">
        <v>298</v>
      </c>
      <c r="F57" s="45" t="s">
        <v>130</v>
      </c>
      <c r="G57" s="47" t="s">
        <v>1390</v>
      </c>
    </row>
    <row r="58" spans="1:7" ht="27">
      <c r="A58" s="101"/>
      <c r="B58" s="101"/>
      <c r="C58" s="101"/>
      <c r="D58" s="103"/>
      <c r="E58" s="103"/>
      <c r="F58" s="45" t="s">
        <v>131</v>
      </c>
      <c r="G58" s="47" t="s">
        <v>1390</v>
      </c>
    </row>
    <row r="59" spans="1:7" ht="15.75" customHeight="1">
      <c r="A59" s="104" t="s">
        <v>119</v>
      </c>
      <c r="B59" s="104" t="s">
        <v>120</v>
      </c>
      <c r="C59" s="104" t="s">
        <v>65</v>
      </c>
      <c r="D59" s="104" t="s">
        <v>121</v>
      </c>
      <c r="E59" s="104" t="s">
        <v>122</v>
      </c>
      <c r="F59" s="45" t="s">
        <v>123</v>
      </c>
      <c r="G59" s="46">
        <v>85</v>
      </c>
    </row>
    <row r="60" spans="1:7" ht="15.75">
      <c r="A60" s="105"/>
      <c r="B60" s="105"/>
      <c r="C60" s="105"/>
      <c r="D60" s="105"/>
      <c r="E60" s="105"/>
      <c r="F60" s="45" t="s">
        <v>124</v>
      </c>
      <c r="G60" s="46">
        <v>85</v>
      </c>
    </row>
    <row r="61" spans="1:7" ht="15.75" customHeight="1">
      <c r="A61" s="100" t="s">
        <v>1391</v>
      </c>
      <c r="B61" s="100" t="s">
        <v>1387</v>
      </c>
      <c r="C61" s="100" t="s">
        <v>1388</v>
      </c>
      <c r="D61" s="102" t="s">
        <v>5</v>
      </c>
      <c r="E61" s="102" t="s">
        <v>298</v>
      </c>
      <c r="F61" s="45" t="s">
        <v>130</v>
      </c>
      <c r="G61" s="47">
        <f>(110/150)*100</f>
        <v>73.33333333333333</v>
      </c>
    </row>
    <row r="62" spans="1:7" ht="27">
      <c r="A62" s="101"/>
      <c r="B62" s="101"/>
      <c r="C62" s="101"/>
      <c r="D62" s="103"/>
      <c r="E62" s="103"/>
      <c r="F62" s="45" t="s">
        <v>131</v>
      </c>
      <c r="G62" s="47">
        <f>(G61/G60)*100</f>
        <v>86.27450980392156</v>
      </c>
    </row>
    <row r="63" spans="1:7" ht="15.75" customHeight="1">
      <c r="A63" s="104" t="s">
        <v>119</v>
      </c>
      <c r="B63" s="104" t="s">
        <v>120</v>
      </c>
      <c r="C63" s="104" t="s">
        <v>65</v>
      </c>
      <c r="D63" s="104" t="s">
        <v>121</v>
      </c>
      <c r="E63" s="104" t="s">
        <v>122</v>
      </c>
      <c r="F63" s="45" t="s">
        <v>123</v>
      </c>
      <c r="G63" s="46">
        <v>8</v>
      </c>
    </row>
    <row r="64" spans="1:7" ht="15.75">
      <c r="A64" s="105"/>
      <c r="B64" s="105"/>
      <c r="C64" s="105"/>
      <c r="D64" s="105"/>
      <c r="E64" s="105"/>
      <c r="F64" s="45" t="s">
        <v>124</v>
      </c>
      <c r="G64" s="46">
        <v>8</v>
      </c>
    </row>
    <row r="65" spans="1:7" ht="15.75" customHeight="1">
      <c r="A65" s="100" t="s">
        <v>1392</v>
      </c>
      <c r="B65" s="100" t="s">
        <v>1393</v>
      </c>
      <c r="C65" s="100" t="s">
        <v>1394</v>
      </c>
      <c r="D65" s="102" t="s">
        <v>149</v>
      </c>
      <c r="E65" s="102" t="s">
        <v>1395</v>
      </c>
      <c r="F65" s="45" t="s">
        <v>130</v>
      </c>
      <c r="G65" s="47">
        <f>2836.9/289</f>
        <v>9.816262975778548</v>
      </c>
    </row>
    <row r="66" spans="1:7" ht="27">
      <c r="A66" s="101"/>
      <c r="B66" s="101"/>
      <c r="C66" s="101"/>
      <c r="D66" s="103"/>
      <c r="E66" s="103"/>
      <c r="F66" s="45" t="s">
        <v>131</v>
      </c>
      <c r="G66" s="47">
        <f>(G65/G64)*100</f>
        <v>122.70328719723184</v>
      </c>
    </row>
    <row r="67" spans="1:7" ht="15.75" customHeight="1">
      <c r="A67" s="104" t="s">
        <v>119</v>
      </c>
      <c r="B67" s="104" t="s">
        <v>120</v>
      </c>
      <c r="C67" s="104" t="s">
        <v>65</v>
      </c>
      <c r="D67" s="104" t="s">
        <v>121</v>
      </c>
      <c r="E67" s="104" t="s">
        <v>122</v>
      </c>
      <c r="F67" s="45" t="s">
        <v>123</v>
      </c>
      <c r="G67" s="46">
        <v>50</v>
      </c>
    </row>
    <row r="68" spans="1:7" ht="15.75">
      <c r="A68" s="105"/>
      <c r="B68" s="105"/>
      <c r="C68" s="105"/>
      <c r="D68" s="105"/>
      <c r="E68" s="105"/>
      <c r="F68" s="45" t="s">
        <v>124</v>
      </c>
      <c r="G68" s="46">
        <v>50</v>
      </c>
    </row>
    <row r="69" spans="1:7" ht="15.75" customHeight="1">
      <c r="A69" s="100" t="s">
        <v>1396</v>
      </c>
      <c r="B69" s="100" t="s">
        <v>1397</v>
      </c>
      <c r="C69" s="100" t="s">
        <v>1398</v>
      </c>
      <c r="D69" s="102" t="s">
        <v>5</v>
      </c>
      <c r="E69" s="102" t="s">
        <v>142</v>
      </c>
      <c r="F69" s="45" t="s">
        <v>130</v>
      </c>
      <c r="G69" s="47">
        <f>(161/161)*100</f>
        <v>100</v>
      </c>
    </row>
    <row r="70" spans="1:7" ht="27">
      <c r="A70" s="101"/>
      <c r="B70" s="101"/>
      <c r="C70" s="101"/>
      <c r="D70" s="103"/>
      <c r="E70" s="103"/>
      <c r="F70" s="45" t="s">
        <v>131</v>
      </c>
      <c r="G70" s="47">
        <f>(G69/G68)*100</f>
        <v>200</v>
      </c>
    </row>
    <row r="71" spans="1:7" ht="15.75" customHeight="1">
      <c r="A71" s="104" t="s">
        <v>119</v>
      </c>
      <c r="B71" s="104" t="s">
        <v>120</v>
      </c>
      <c r="C71" s="104" t="s">
        <v>65</v>
      </c>
      <c r="D71" s="104" t="s">
        <v>121</v>
      </c>
      <c r="E71" s="104" t="s">
        <v>122</v>
      </c>
      <c r="F71" s="45" t="s">
        <v>123</v>
      </c>
      <c r="G71" s="46">
        <v>80</v>
      </c>
    </row>
    <row r="72" spans="1:7" ht="15.75">
      <c r="A72" s="105"/>
      <c r="B72" s="105"/>
      <c r="C72" s="105"/>
      <c r="D72" s="105"/>
      <c r="E72" s="105"/>
      <c r="F72" s="45" t="s">
        <v>124</v>
      </c>
      <c r="G72" s="46">
        <v>80</v>
      </c>
    </row>
    <row r="73" spans="1:7" ht="15.75" customHeight="1">
      <c r="A73" s="100" t="s">
        <v>1399</v>
      </c>
      <c r="B73" s="100" t="s">
        <v>1400</v>
      </c>
      <c r="C73" s="100" t="s">
        <v>1401</v>
      </c>
      <c r="D73" s="102" t="s">
        <v>5</v>
      </c>
      <c r="E73" s="102" t="s">
        <v>142</v>
      </c>
      <c r="F73" s="45" t="s">
        <v>130</v>
      </c>
      <c r="G73" s="47">
        <f>(2/6)*100</f>
        <v>33.33333333333333</v>
      </c>
    </row>
    <row r="74" spans="1:7" ht="27">
      <c r="A74" s="101"/>
      <c r="B74" s="101"/>
      <c r="C74" s="101"/>
      <c r="D74" s="103"/>
      <c r="E74" s="103"/>
      <c r="F74" s="45" t="s">
        <v>131</v>
      </c>
      <c r="G74" s="47">
        <f>(G73/G72)*100</f>
        <v>41.666666666666664</v>
      </c>
    </row>
    <row r="75" spans="1:7" ht="15.75" customHeight="1">
      <c r="A75" s="104" t="s">
        <v>119</v>
      </c>
      <c r="B75" s="104" t="s">
        <v>120</v>
      </c>
      <c r="C75" s="104" t="s">
        <v>65</v>
      </c>
      <c r="D75" s="104" t="s">
        <v>121</v>
      </c>
      <c r="E75" s="104" t="s">
        <v>122</v>
      </c>
      <c r="F75" s="45" t="s">
        <v>123</v>
      </c>
      <c r="G75" s="46">
        <v>95</v>
      </c>
    </row>
    <row r="76" spans="1:7" ht="15.75">
      <c r="A76" s="105"/>
      <c r="B76" s="105"/>
      <c r="C76" s="105"/>
      <c r="D76" s="105"/>
      <c r="E76" s="105"/>
      <c r="F76" s="45" t="s">
        <v>124</v>
      </c>
      <c r="G76" s="46">
        <v>95</v>
      </c>
    </row>
    <row r="77" spans="1:7" ht="15.75" customHeight="1">
      <c r="A77" s="100" t="s">
        <v>1402</v>
      </c>
      <c r="B77" s="100" t="s">
        <v>1403</v>
      </c>
      <c r="C77" s="100" t="s">
        <v>1404</v>
      </c>
      <c r="D77" s="102" t="s">
        <v>5</v>
      </c>
      <c r="E77" s="102" t="s">
        <v>167</v>
      </c>
      <c r="F77" s="45" t="s">
        <v>130</v>
      </c>
      <c r="G77" s="47">
        <f>(20/22)*100</f>
        <v>90.9090909090909</v>
      </c>
    </row>
    <row r="78" spans="1:7" ht="27">
      <c r="A78" s="101"/>
      <c r="B78" s="101"/>
      <c r="C78" s="101"/>
      <c r="D78" s="103"/>
      <c r="E78" s="103"/>
      <c r="F78" s="45" t="s">
        <v>131</v>
      </c>
      <c r="G78" s="47">
        <f>(G77/G76)*100</f>
        <v>95.69377990430623</v>
      </c>
    </row>
    <row r="79" spans="1:7" ht="15.75" customHeight="1">
      <c r="A79" s="104" t="s">
        <v>119</v>
      </c>
      <c r="B79" s="104" t="s">
        <v>120</v>
      </c>
      <c r="C79" s="104" t="s">
        <v>65</v>
      </c>
      <c r="D79" s="104" t="s">
        <v>121</v>
      </c>
      <c r="E79" s="104" t="s">
        <v>122</v>
      </c>
      <c r="F79" s="45" t="s">
        <v>123</v>
      </c>
      <c r="G79" s="46">
        <v>95</v>
      </c>
    </row>
    <row r="80" spans="1:7" ht="15.75">
      <c r="A80" s="105"/>
      <c r="B80" s="105"/>
      <c r="C80" s="105"/>
      <c r="D80" s="105"/>
      <c r="E80" s="105"/>
      <c r="F80" s="45" t="s">
        <v>124</v>
      </c>
      <c r="G80" s="46">
        <v>95</v>
      </c>
    </row>
    <row r="81" spans="1:7" ht="15.75" customHeight="1">
      <c r="A81" s="100" t="s">
        <v>1405</v>
      </c>
      <c r="B81" s="100" t="s">
        <v>1406</v>
      </c>
      <c r="C81" s="100" t="s">
        <v>1407</v>
      </c>
      <c r="D81" s="102" t="s">
        <v>5</v>
      </c>
      <c r="E81" s="102" t="s">
        <v>167</v>
      </c>
      <c r="F81" s="45" t="s">
        <v>130</v>
      </c>
      <c r="G81" s="47">
        <f>(113/113)*100</f>
        <v>100</v>
      </c>
    </row>
    <row r="82" spans="1:7" ht="27">
      <c r="A82" s="101"/>
      <c r="B82" s="101"/>
      <c r="C82" s="101"/>
      <c r="D82" s="103"/>
      <c r="E82" s="103"/>
      <c r="F82" s="45" t="s">
        <v>131</v>
      </c>
      <c r="G82" s="47">
        <f>(G81/G80)*100</f>
        <v>105.26315789473684</v>
      </c>
    </row>
    <row r="83" spans="1:7" ht="15.75" customHeight="1">
      <c r="A83" s="104" t="s">
        <v>119</v>
      </c>
      <c r="B83" s="104" t="s">
        <v>120</v>
      </c>
      <c r="C83" s="104" t="s">
        <v>65</v>
      </c>
      <c r="D83" s="104" t="s">
        <v>121</v>
      </c>
      <c r="E83" s="104" t="s">
        <v>122</v>
      </c>
      <c r="F83" s="45" t="s">
        <v>123</v>
      </c>
      <c r="G83" s="46">
        <v>80</v>
      </c>
    </row>
    <row r="84" spans="1:7" ht="15.75">
      <c r="A84" s="105"/>
      <c r="B84" s="105"/>
      <c r="C84" s="105"/>
      <c r="D84" s="105"/>
      <c r="E84" s="105"/>
      <c r="F84" s="45" t="s">
        <v>124</v>
      </c>
      <c r="G84" s="46">
        <v>80</v>
      </c>
    </row>
    <row r="85" spans="1:7" ht="107.25" customHeight="1">
      <c r="A85" s="100" t="s">
        <v>1408</v>
      </c>
      <c r="B85" s="100" t="s">
        <v>1409</v>
      </c>
      <c r="C85" s="100" t="s">
        <v>1410</v>
      </c>
      <c r="D85" s="102" t="s">
        <v>5</v>
      </c>
      <c r="E85" s="102" t="s">
        <v>142</v>
      </c>
      <c r="F85" s="45" t="s">
        <v>130</v>
      </c>
      <c r="G85" s="47">
        <f>(12/14)*100</f>
        <v>85.71428571428571</v>
      </c>
    </row>
    <row r="86" spans="1:7" ht="107.25" customHeight="1">
      <c r="A86" s="101"/>
      <c r="B86" s="101"/>
      <c r="C86" s="101"/>
      <c r="D86" s="103"/>
      <c r="E86" s="103"/>
      <c r="F86" s="45" t="s">
        <v>131</v>
      </c>
      <c r="G86" s="47">
        <f>(G85/G84)*100</f>
        <v>107.14285714285714</v>
      </c>
    </row>
    <row r="87" spans="1:7" ht="15.75" customHeight="1">
      <c r="A87" s="104" t="s">
        <v>119</v>
      </c>
      <c r="B87" s="104" t="s">
        <v>120</v>
      </c>
      <c r="C87" s="104" t="s">
        <v>65</v>
      </c>
      <c r="D87" s="104" t="s">
        <v>121</v>
      </c>
      <c r="E87" s="104" t="s">
        <v>122</v>
      </c>
      <c r="F87" s="45" t="s">
        <v>123</v>
      </c>
      <c r="G87" s="46">
        <v>90</v>
      </c>
    </row>
    <row r="88" spans="1:7" ht="15.75">
      <c r="A88" s="105"/>
      <c r="B88" s="105"/>
      <c r="C88" s="105"/>
      <c r="D88" s="105"/>
      <c r="E88" s="105"/>
      <c r="F88" s="45" t="s">
        <v>124</v>
      </c>
      <c r="G88" s="46">
        <v>90</v>
      </c>
    </row>
    <row r="89" spans="1:7" ht="29.25" customHeight="1">
      <c r="A89" s="100" t="s">
        <v>1411</v>
      </c>
      <c r="B89" s="100" t="s">
        <v>1412</v>
      </c>
      <c r="C89" s="100" t="s">
        <v>1413</v>
      </c>
      <c r="D89" s="102" t="s">
        <v>5</v>
      </c>
      <c r="E89" s="102" t="s">
        <v>167</v>
      </c>
      <c r="F89" s="45" t="s">
        <v>130</v>
      </c>
      <c r="G89" s="47" t="s">
        <v>1390</v>
      </c>
    </row>
    <row r="90" spans="1:7" ht="29.25" customHeight="1">
      <c r="A90" s="101"/>
      <c r="B90" s="101"/>
      <c r="C90" s="101"/>
      <c r="D90" s="103"/>
      <c r="E90" s="103"/>
      <c r="F90" s="45" t="s">
        <v>131</v>
      </c>
      <c r="G90" s="47" t="s">
        <v>1390</v>
      </c>
    </row>
    <row r="91" spans="1:7" ht="15.75" customHeight="1">
      <c r="A91" s="104" t="s">
        <v>119</v>
      </c>
      <c r="B91" s="104" t="s">
        <v>120</v>
      </c>
      <c r="C91" s="104" t="s">
        <v>65</v>
      </c>
      <c r="D91" s="104" t="s">
        <v>121</v>
      </c>
      <c r="E91" s="104" t="s">
        <v>122</v>
      </c>
      <c r="F91" s="45" t="s">
        <v>123</v>
      </c>
      <c r="G91" s="46">
        <v>60</v>
      </c>
    </row>
    <row r="92" spans="1:7" ht="15.75">
      <c r="A92" s="105"/>
      <c r="B92" s="105"/>
      <c r="C92" s="105"/>
      <c r="D92" s="105"/>
      <c r="E92" s="105"/>
      <c r="F92" s="45" t="s">
        <v>124</v>
      </c>
      <c r="G92" s="46">
        <v>60</v>
      </c>
    </row>
    <row r="93" spans="1:7" ht="15.75" customHeight="1">
      <c r="A93" s="100" t="s">
        <v>1414</v>
      </c>
      <c r="B93" s="100" t="s">
        <v>1415</v>
      </c>
      <c r="C93" s="100" t="s">
        <v>1416</v>
      </c>
      <c r="D93" s="102" t="s">
        <v>5</v>
      </c>
      <c r="E93" s="102" t="s">
        <v>298</v>
      </c>
      <c r="F93" s="45" t="s">
        <v>130</v>
      </c>
      <c r="G93" s="47">
        <f>(112/148)*100</f>
        <v>75.67567567567568</v>
      </c>
    </row>
    <row r="94" spans="1:7" ht="27">
      <c r="A94" s="101"/>
      <c r="B94" s="101"/>
      <c r="C94" s="101"/>
      <c r="D94" s="103"/>
      <c r="E94" s="103"/>
      <c r="F94" s="45" t="s">
        <v>131</v>
      </c>
      <c r="G94" s="47">
        <f>(G93/G92)*100</f>
        <v>126.12612612612612</v>
      </c>
    </row>
    <row r="95" spans="1:7" ht="15.75" customHeight="1">
      <c r="A95" s="104" t="s">
        <v>119</v>
      </c>
      <c r="B95" s="104" t="s">
        <v>120</v>
      </c>
      <c r="C95" s="104" t="s">
        <v>65</v>
      </c>
      <c r="D95" s="104" t="s">
        <v>121</v>
      </c>
      <c r="E95" s="104" t="s">
        <v>122</v>
      </c>
      <c r="F95" s="45" t="s">
        <v>123</v>
      </c>
      <c r="G95" s="46">
        <v>85</v>
      </c>
    </row>
    <row r="96" spans="1:7" ht="15.75">
      <c r="A96" s="105"/>
      <c r="B96" s="105"/>
      <c r="C96" s="105"/>
      <c r="D96" s="105"/>
      <c r="E96" s="105"/>
      <c r="F96" s="45" t="s">
        <v>124</v>
      </c>
      <c r="G96" s="46">
        <v>85</v>
      </c>
    </row>
    <row r="97" spans="1:7" ht="53.25" customHeight="1">
      <c r="A97" s="100" t="s">
        <v>1417</v>
      </c>
      <c r="B97" s="100" t="s">
        <v>1418</v>
      </c>
      <c r="C97" s="100" t="s">
        <v>1419</v>
      </c>
      <c r="D97" s="102" t="s">
        <v>5</v>
      </c>
      <c r="E97" s="102" t="s">
        <v>142</v>
      </c>
      <c r="F97" s="45" t="s">
        <v>130</v>
      </c>
      <c r="G97" s="47">
        <f>(80/80)*100</f>
        <v>100</v>
      </c>
    </row>
    <row r="98" spans="1:8" ht="53.25" customHeight="1">
      <c r="A98" s="101"/>
      <c r="B98" s="101"/>
      <c r="C98" s="101"/>
      <c r="D98" s="103"/>
      <c r="E98" s="103"/>
      <c r="F98" s="45" t="s">
        <v>131</v>
      </c>
      <c r="G98" s="47">
        <f>(G97/G96)*100</f>
        <v>117.64705882352942</v>
      </c>
      <c r="H98" s="53"/>
    </row>
    <row r="99" spans="1:7" ht="15.75" customHeight="1">
      <c r="A99" s="104" t="s">
        <v>119</v>
      </c>
      <c r="B99" s="104" t="s">
        <v>120</v>
      </c>
      <c r="C99" s="104" t="s">
        <v>65</v>
      </c>
      <c r="D99" s="104" t="s">
        <v>121</v>
      </c>
      <c r="E99" s="104" t="s">
        <v>122</v>
      </c>
      <c r="F99" s="45" t="s">
        <v>123</v>
      </c>
      <c r="G99" s="46">
        <v>95</v>
      </c>
    </row>
    <row r="100" spans="1:7" ht="15.75">
      <c r="A100" s="105"/>
      <c r="B100" s="105"/>
      <c r="C100" s="105"/>
      <c r="D100" s="105"/>
      <c r="E100" s="105"/>
      <c r="F100" s="45" t="s">
        <v>124</v>
      </c>
      <c r="G100" s="46">
        <v>95</v>
      </c>
    </row>
    <row r="101" spans="1:7" ht="48" customHeight="1">
      <c r="A101" s="100" t="s">
        <v>1420</v>
      </c>
      <c r="B101" s="100" t="s">
        <v>1421</v>
      </c>
      <c r="C101" s="100" t="s">
        <v>1422</v>
      </c>
      <c r="D101" s="102" t="s">
        <v>5</v>
      </c>
      <c r="E101" s="102" t="s">
        <v>167</v>
      </c>
      <c r="F101" s="45" t="s">
        <v>130</v>
      </c>
      <c r="G101" s="47">
        <f>(230/626)*100</f>
        <v>36.74121405750799</v>
      </c>
    </row>
    <row r="102" spans="1:8" ht="48" customHeight="1">
      <c r="A102" s="101"/>
      <c r="B102" s="101"/>
      <c r="C102" s="101"/>
      <c r="D102" s="103"/>
      <c r="E102" s="103"/>
      <c r="F102" s="45" t="s">
        <v>131</v>
      </c>
      <c r="G102" s="47">
        <f>(G101/G100)*100</f>
        <v>38.67496216579788</v>
      </c>
      <c r="H102" s="53"/>
    </row>
    <row r="103" spans="1:8" ht="15.75">
      <c r="A103" s="96" t="s">
        <v>192</v>
      </c>
      <c r="B103" s="96"/>
      <c r="C103" s="96"/>
      <c r="D103" s="96"/>
      <c r="E103" s="96"/>
      <c r="F103" s="96"/>
      <c r="G103" s="96"/>
      <c r="H103" s="53"/>
    </row>
    <row r="104" spans="1:8" ht="15.75">
      <c r="A104" s="150" t="str">
        <f>+A31</f>
        <v>Indicador Compuesto del Cumplimiento de Obligaciones de Transparencia (ICCOT) </v>
      </c>
      <c r="B104" s="151"/>
      <c r="C104" s="151"/>
      <c r="D104" s="151"/>
      <c r="E104" s="151"/>
      <c r="F104" s="151"/>
      <c r="G104" s="152"/>
      <c r="H104" s="53"/>
    </row>
    <row r="105" spans="1:8" ht="31.5" customHeight="1">
      <c r="A105" s="48" t="s">
        <v>193</v>
      </c>
      <c r="B105" s="156" t="s">
        <v>1367</v>
      </c>
      <c r="C105" s="157"/>
      <c r="D105" s="157"/>
      <c r="E105" s="157"/>
      <c r="F105" s="157"/>
      <c r="G105" s="158"/>
      <c r="H105" s="53"/>
    </row>
    <row r="106" spans="1:8" ht="31.5" customHeight="1">
      <c r="A106" s="49" t="s">
        <v>6</v>
      </c>
      <c r="B106" s="98" t="s">
        <v>1334</v>
      </c>
      <c r="C106" s="98"/>
      <c r="D106" s="98"/>
      <c r="E106" s="98"/>
      <c r="F106" s="98"/>
      <c r="G106" s="98"/>
      <c r="H106" s="53"/>
    </row>
    <row r="107" spans="1:8" ht="15.75">
      <c r="A107" s="49" t="s">
        <v>195</v>
      </c>
      <c r="B107" s="95"/>
      <c r="C107" s="95"/>
      <c r="D107" s="95"/>
      <c r="E107" s="95"/>
      <c r="F107" s="95"/>
      <c r="G107" s="95"/>
      <c r="H107" s="53"/>
    </row>
    <row r="108" spans="1:8" ht="15.75">
      <c r="A108" s="150" t="str">
        <f>+A37</f>
        <v>Porcentaje de  sujetos obligados que cumplen con las obligaciones de transparencia de conformidad con la normatividad aplicable. </v>
      </c>
      <c r="B108" s="151"/>
      <c r="C108" s="151"/>
      <c r="D108" s="151"/>
      <c r="E108" s="151"/>
      <c r="F108" s="151"/>
      <c r="G108" s="152"/>
      <c r="H108" s="53"/>
    </row>
    <row r="109" spans="1:8" ht="15.75">
      <c r="A109" s="49" t="s">
        <v>193</v>
      </c>
      <c r="B109" s="94" t="s">
        <v>1423</v>
      </c>
      <c r="C109" s="94"/>
      <c r="D109" s="94"/>
      <c r="E109" s="94"/>
      <c r="F109" s="94"/>
      <c r="G109" s="94"/>
      <c r="H109" s="53"/>
    </row>
    <row r="110" spans="1:8" ht="15.75">
      <c r="A110" s="49" t="s">
        <v>6</v>
      </c>
      <c r="B110" s="94" t="s">
        <v>1424</v>
      </c>
      <c r="C110" s="94"/>
      <c r="D110" s="94"/>
      <c r="E110" s="94"/>
      <c r="F110" s="94"/>
      <c r="G110" s="94"/>
      <c r="H110" s="53"/>
    </row>
    <row r="111" spans="1:8" ht="31.5" customHeight="1">
      <c r="A111" s="49" t="s">
        <v>195</v>
      </c>
      <c r="B111" s="95" t="s">
        <v>1425</v>
      </c>
      <c r="C111" s="95"/>
      <c r="D111" s="95"/>
      <c r="E111" s="95"/>
      <c r="F111" s="95"/>
      <c r="G111" s="95"/>
      <c r="H111" s="53"/>
    </row>
    <row r="112" spans="1:8" ht="15.75">
      <c r="A112" s="150" t="str">
        <f>+A43</f>
        <v>Porcentaje de sujetos obligados beneficiados por el Programa de Acompañamiento.</v>
      </c>
      <c r="B112" s="151"/>
      <c r="C112" s="151"/>
      <c r="D112" s="151"/>
      <c r="E112" s="151"/>
      <c r="F112" s="151"/>
      <c r="G112" s="152"/>
      <c r="H112" s="53"/>
    </row>
    <row r="113" spans="1:8" ht="31.5" customHeight="1">
      <c r="A113" s="49" t="s">
        <v>193</v>
      </c>
      <c r="B113" s="94" t="s">
        <v>1426</v>
      </c>
      <c r="C113" s="94"/>
      <c r="D113" s="94"/>
      <c r="E113" s="94"/>
      <c r="F113" s="94"/>
      <c r="G113" s="94"/>
      <c r="H113" s="53"/>
    </row>
    <row r="114" spans="1:8" ht="15.75">
      <c r="A114" s="49" t="s">
        <v>6</v>
      </c>
      <c r="B114" s="94" t="s">
        <v>1427</v>
      </c>
      <c r="C114" s="94"/>
      <c r="D114" s="94"/>
      <c r="E114" s="94"/>
      <c r="F114" s="94"/>
      <c r="G114" s="94"/>
      <c r="H114" s="53"/>
    </row>
    <row r="115" spans="1:8" ht="15.75">
      <c r="A115" s="49" t="s">
        <v>195</v>
      </c>
      <c r="B115" s="95" t="s">
        <v>1428</v>
      </c>
      <c r="C115" s="95"/>
      <c r="D115" s="95"/>
      <c r="E115" s="95"/>
      <c r="F115" s="95"/>
      <c r="G115" s="95"/>
      <c r="H115" s="53"/>
    </row>
    <row r="116" spans="1:8" ht="15.75">
      <c r="A116" s="150" t="str">
        <f>+A47</f>
        <v>Promedio de sujetos obligados que cumplen con las obligaciones de transparencia. </v>
      </c>
      <c r="B116" s="151"/>
      <c r="C116" s="151"/>
      <c r="D116" s="151"/>
      <c r="E116" s="151"/>
      <c r="F116" s="151"/>
      <c r="G116" s="152"/>
      <c r="H116" s="53"/>
    </row>
    <row r="117" spans="1:8" ht="55.5" customHeight="1">
      <c r="A117" s="49" t="s">
        <v>193</v>
      </c>
      <c r="B117" s="94" t="s">
        <v>1429</v>
      </c>
      <c r="C117" s="94"/>
      <c r="D117" s="94"/>
      <c r="E117" s="94"/>
      <c r="F117" s="94"/>
      <c r="G117" s="94"/>
      <c r="H117" s="53"/>
    </row>
    <row r="118" spans="1:8" ht="15.75">
      <c r="A118" s="49" t="s">
        <v>6</v>
      </c>
      <c r="B118" s="94" t="s">
        <v>1430</v>
      </c>
      <c r="C118" s="94"/>
      <c r="D118" s="94"/>
      <c r="E118" s="94"/>
      <c r="F118" s="94"/>
      <c r="G118" s="94"/>
      <c r="H118" s="53"/>
    </row>
    <row r="119" spans="1:8" ht="15.75">
      <c r="A119" s="49" t="s">
        <v>195</v>
      </c>
      <c r="B119" s="95"/>
      <c r="C119" s="95"/>
      <c r="D119" s="95"/>
      <c r="E119" s="95"/>
      <c r="F119" s="95"/>
      <c r="G119" s="95"/>
      <c r="H119" s="53"/>
    </row>
    <row r="120" spans="1:8" ht="15.75">
      <c r="A120" s="150" t="str">
        <f>+A53</f>
        <v>Porcentaje de sujetos obligados asistentes (Sindicatos y Autoridades Laborales)</v>
      </c>
      <c r="B120" s="151"/>
      <c r="C120" s="151"/>
      <c r="D120" s="151"/>
      <c r="E120" s="151"/>
      <c r="F120" s="151"/>
      <c r="G120" s="152"/>
      <c r="H120" s="53"/>
    </row>
    <row r="121" spans="1:8" ht="15.75">
      <c r="A121" s="49" t="s">
        <v>193</v>
      </c>
      <c r="B121" s="94" t="s">
        <v>1431</v>
      </c>
      <c r="C121" s="94"/>
      <c r="D121" s="94"/>
      <c r="E121" s="94"/>
      <c r="F121" s="94"/>
      <c r="G121" s="94"/>
      <c r="H121" s="53"/>
    </row>
    <row r="122" spans="1:8" ht="15.75">
      <c r="A122" s="49" t="s">
        <v>6</v>
      </c>
      <c r="B122" s="94" t="s">
        <v>1432</v>
      </c>
      <c r="C122" s="94"/>
      <c r="D122" s="94"/>
      <c r="E122" s="94"/>
      <c r="F122" s="94"/>
      <c r="G122" s="94"/>
      <c r="H122" s="53"/>
    </row>
    <row r="123" spans="1:8" ht="15.75">
      <c r="A123" s="49" t="s">
        <v>195</v>
      </c>
      <c r="B123" s="95" t="s">
        <v>1433</v>
      </c>
      <c r="C123" s="95"/>
      <c r="D123" s="95"/>
      <c r="E123" s="95"/>
      <c r="F123" s="95"/>
      <c r="G123" s="95"/>
      <c r="H123" s="53"/>
    </row>
    <row r="124" spans="1:8" ht="15.75">
      <c r="A124" s="150" t="str">
        <f>+A57</f>
        <v>Porcentaje de sujetos obligados asistentes (Personas Físicas y Morales)</v>
      </c>
      <c r="B124" s="151"/>
      <c r="C124" s="151"/>
      <c r="D124" s="151"/>
      <c r="E124" s="151"/>
      <c r="F124" s="151"/>
      <c r="G124" s="152"/>
      <c r="H124" s="53"/>
    </row>
    <row r="125" spans="1:8" ht="15.75">
      <c r="A125" s="49" t="s">
        <v>193</v>
      </c>
      <c r="B125" s="153" t="s">
        <v>1434</v>
      </c>
      <c r="C125" s="154"/>
      <c r="D125" s="154"/>
      <c r="E125" s="154"/>
      <c r="F125" s="154"/>
      <c r="G125" s="155"/>
      <c r="H125" s="53"/>
    </row>
    <row r="126" spans="1:8" ht="15.75">
      <c r="A126" s="49" t="s">
        <v>6</v>
      </c>
      <c r="B126" s="94" t="s">
        <v>668</v>
      </c>
      <c r="C126" s="94"/>
      <c r="D126" s="94"/>
      <c r="E126" s="94"/>
      <c r="F126" s="94"/>
      <c r="G126" s="94"/>
      <c r="H126" s="53"/>
    </row>
    <row r="127" spans="1:8" ht="15.75">
      <c r="A127" s="49" t="s">
        <v>195</v>
      </c>
      <c r="B127" s="95" t="s">
        <v>1435</v>
      </c>
      <c r="C127" s="95"/>
      <c r="D127" s="95"/>
      <c r="E127" s="95"/>
      <c r="F127" s="95"/>
      <c r="G127" s="95"/>
      <c r="H127" s="53"/>
    </row>
    <row r="128" spans="1:8" ht="15.75">
      <c r="A128" s="150" t="str">
        <f>+A61</f>
        <v>Porcentaje de sujetos obligados asistentes (Universidades)</v>
      </c>
      <c r="B128" s="151"/>
      <c r="C128" s="151"/>
      <c r="D128" s="151"/>
      <c r="E128" s="151"/>
      <c r="F128" s="151"/>
      <c r="G128" s="152"/>
      <c r="H128" s="53"/>
    </row>
    <row r="129" spans="1:8" ht="15.75">
      <c r="A129" s="49" t="s">
        <v>193</v>
      </c>
      <c r="B129" s="95" t="s">
        <v>1436</v>
      </c>
      <c r="C129" s="95"/>
      <c r="D129" s="95"/>
      <c r="E129" s="95"/>
      <c r="F129" s="95"/>
      <c r="G129" s="95"/>
      <c r="H129" s="53"/>
    </row>
    <row r="130" spans="1:8" ht="15.75">
      <c r="A130" s="49" t="s">
        <v>6</v>
      </c>
      <c r="B130" s="94" t="s">
        <v>1437</v>
      </c>
      <c r="C130" s="94"/>
      <c r="D130" s="94"/>
      <c r="E130" s="94"/>
      <c r="F130" s="94"/>
      <c r="G130" s="94"/>
      <c r="H130" s="53"/>
    </row>
    <row r="131" spans="1:8" ht="15.75">
      <c r="A131" s="49" t="s">
        <v>195</v>
      </c>
      <c r="B131" s="95" t="s">
        <v>1438</v>
      </c>
      <c r="C131" s="95"/>
      <c r="D131" s="95"/>
      <c r="E131" s="95"/>
      <c r="F131" s="95"/>
      <c r="G131" s="95"/>
      <c r="H131" s="53"/>
    </row>
    <row r="132" spans="1:8" ht="15.75">
      <c r="A132" s="150" t="str">
        <f>+A65</f>
        <v>Promedio de la calidad de asesorías impartidas a los sujetos obligados</v>
      </c>
      <c r="B132" s="151"/>
      <c r="C132" s="151"/>
      <c r="D132" s="151"/>
      <c r="E132" s="151"/>
      <c r="F132" s="151"/>
      <c r="G132" s="152"/>
      <c r="H132" s="53"/>
    </row>
    <row r="133" spans="1:8" ht="15.75">
      <c r="A133" s="49" t="s">
        <v>193</v>
      </c>
      <c r="B133" s="153" t="s">
        <v>1439</v>
      </c>
      <c r="C133" s="154"/>
      <c r="D133" s="154"/>
      <c r="E133" s="154"/>
      <c r="F133" s="154"/>
      <c r="G133" s="155"/>
      <c r="H133" s="53"/>
    </row>
    <row r="134" spans="1:8" ht="15.75">
      <c r="A134" s="49" t="s">
        <v>6</v>
      </c>
      <c r="B134" s="94" t="s">
        <v>1440</v>
      </c>
      <c r="C134" s="94"/>
      <c r="D134" s="94"/>
      <c r="E134" s="94"/>
      <c r="F134" s="94"/>
      <c r="G134" s="94"/>
      <c r="H134" s="53"/>
    </row>
    <row r="135" spans="1:8" ht="15.75">
      <c r="A135" s="49" t="s">
        <v>195</v>
      </c>
      <c r="B135" s="95"/>
      <c r="C135" s="95"/>
      <c r="D135" s="95"/>
      <c r="E135" s="95"/>
      <c r="F135" s="95"/>
      <c r="G135" s="95"/>
      <c r="H135" s="53"/>
    </row>
    <row r="136" spans="1:8" ht="15.75">
      <c r="A136" s="150" t="str">
        <f>+A69</f>
        <v>Porcentaje de entrega de materiales de apoyo a los miembros de las Unidades y Comités de Transparencia</v>
      </c>
      <c r="B136" s="151"/>
      <c r="C136" s="151"/>
      <c r="D136" s="151"/>
      <c r="E136" s="151"/>
      <c r="F136" s="151"/>
      <c r="G136" s="152"/>
      <c r="H136" s="53"/>
    </row>
    <row r="137" spans="1:8" ht="110.25" customHeight="1">
      <c r="A137" s="49" t="s">
        <v>193</v>
      </c>
      <c r="B137" s="94" t="s">
        <v>1441</v>
      </c>
      <c r="C137" s="94"/>
      <c r="D137" s="94"/>
      <c r="E137" s="94"/>
      <c r="F137" s="94"/>
      <c r="G137" s="94"/>
      <c r="H137" s="53"/>
    </row>
    <row r="138" spans="1:8" ht="15.75">
      <c r="A138" s="49" t="s">
        <v>6</v>
      </c>
      <c r="B138" s="94" t="s">
        <v>1442</v>
      </c>
      <c r="C138" s="94"/>
      <c r="D138" s="94"/>
      <c r="E138" s="94"/>
      <c r="F138" s="94"/>
      <c r="G138" s="94"/>
      <c r="H138" s="53"/>
    </row>
    <row r="139" spans="1:8" ht="15.75">
      <c r="A139" s="49" t="s">
        <v>195</v>
      </c>
      <c r="B139" s="95" t="s">
        <v>259</v>
      </c>
      <c r="C139" s="95"/>
      <c r="D139" s="95"/>
      <c r="E139" s="95"/>
      <c r="F139" s="95"/>
      <c r="G139" s="95"/>
      <c r="H139" s="53"/>
    </row>
    <row r="140" spans="1:8" ht="15.75">
      <c r="A140" s="150" t="str">
        <f>+A73</f>
        <v>Porcentaje de sujetos obligados que suscriben convenios</v>
      </c>
      <c r="B140" s="151"/>
      <c r="C140" s="151"/>
      <c r="D140" s="151"/>
      <c r="E140" s="151"/>
      <c r="F140" s="151"/>
      <c r="G140" s="152"/>
      <c r="H140" s="53"/>
    </row>
    <row r="141" spans="1:8" ht="41.25" customHeight="1">
      <c r="A141" s="49" t="s">
        <v>193</v>
      </c>
      <c r="B141" s="153" t="s">
        <v>1443</v>
      </c>
      <c r="C141" s="154"/>
      <c r="D141" s="154"/>
      <c r="E141" s="154"/>
      <c r="F141" s="154"/>
      <c r="G141" s="155"/>
      <c r="H141" s="53"/>
    </row>
    <row r="142" spans="1:8" ht="15.75">
      <c r="A142" s="49" t="s">
        <v>6</v>
      </c>
      <c r="B142" s="94" t="s">
        <v>1437</v>
      </c>
      <c r="C142" s="94"/>
      <c r="D142" s="94"/>
      <c r="E142" s="94"/>
      <c r="F142" s="94"/>
      <c r="G142" s="94"/>
      <c r="H142" s="53"/>
    </row>
    <row r="143" spans="1:8" ht="15.75">
      <c r="A143" s="49" t="s">
        <v>195</v>
      </c>
      <c r="B143" s="95" t="s">
        <v>1444</v>
      </c>
      <c r="C143" s="95"/>
      <c r="D143" s="95"/>
      <c r="E143" s="95"/>
      <c r="F143" s="95"/>
      <c r="G143" s="95"/>
      <c r="H143" s="53"/>
    </row>
    <row r="144" spans="1:8" ht="15.75">
      <c r="A144" s="150" t="str">
        <f>+A77</f>
        <v>Porcentaje de atención a consultas normativas</v>
      </c>
      <c r="B144" s="151"/>
      <c r="C144" s="151"/>
      <c r="D144" s="151"/>
      <c r="E144" s="151"/>
      <c r="F144" s="151"/>
      <c r="G144" s="152"/>
      <c r="H144" s="53"/>
    </row>
    <row r="145" spans="1:8" ht="42.75" customHeight="1">
      <c r="A145" s="49" t="s">
        <v>193</v>
      </c>
      <c r="B145" s="153" t="s">
        <v>1445</v>
      </c>
      <c r="C145" s="154"/>
      <c r="D145" s="154"/>
      <c r="E145" s="154"/>
      <c r="F145" s="154"/>
      <c r="G145" s="155"/>
      <c r="H145" s="53"/>
    </row>
    <row r="146" spans="1:8" ht="15.75">
      <c r="A146" s="49" t="s">
        <v>6</v>
      </c>
      <c r="B146" s="94" t="s">
        <v>1446</v>
      </c>
      <c r="C146" s="94"/>
      <c r="D146" s="94"/>
      <c r="E146" s="94"/>
      <c r="F146" s="94"/>
      <c r="G146" s="94"/>
      <c r="H146" s="53"/>
    </row>
    <row r="147" spans="1:8" ht="15.75">
      <c r="A147" s="49" t="s">
        <v>195</v>
      </c>
      <c r="B147" s="95"/>
      <c r="C147" s="95"/>
      <c r="D147" s="95"/>
      <c r="E147" s="95"/>
      <c r="F147" s="95"/>
      <c r="G147" s="95"/>
      <c r="H147" s="53"/>
    </row>
    <row r="148" spans="1:8" ht="15.75">
      <c r="A148" s="150" t="str">
        <f>+A81</f>
        <v>Porcentaje de atención a incidencias y  consultas técnicas</v>
      </c>
      <c r="B148" s="151"/>
      <c r="C148" s="151"/>
      <c r="D148" s="151"/>
      <c r="E148" s="151"/>
      <c r="F148" s="151"/>
      <c r="G148" s="152"/>
      <c r="H148" s="53"/>
    </row>
    <row r="149" spans="1:8" ht="31.5" customHeight="1">
      <c r="A149" s="49" t="s">
        <v>193</v>
      </c>
      <c r="B149" s="153" t="s">
        <v>1447</v>
      </c>
      <c r="C149" s="154"/>
      <c r="D149" s="154"/>
      <c r="E149" s="154"/>
      <c r="F149" s="154"/>
      <c r="G149" s="155"/>
      <c r="H149" s="53"/>
    </row>
    <row r="150" spans="1:8" ht="15.75">
      <c r="A150" s="49" t="s">
        <v>6</v>
      </c>
      <c r="B150" s="94" t="s">
        <v>1448</v>
      </c>
      <c r="C150" s="94"/>
      <c r="D150" s="94"/>
      <c r="E150" s="94"/>
      <c r="F150" s="94"/>
      <c r="G150" s="94"/>
      <c r="H150" s="53"/>
    </row>
    <row r="151" spans="1:8" ht="15.75">
      <c r="A151" s="49" t="s">
        <v>195</v>
      </c>
      <c r="B151" s="95" t="s">
        <v>1449</v>
      </c>
      <c r="C151" s="95"/>
      <c r="D151" s="95"/>
      <c r="E151" s="95"/>
      <c r="F151" s="95"/>
      <c r="G151" s="95"/>
      <c r="H151" s="53"/>
    </row>
    <row r="152" spans="1:8" ht="15.75">
      <c r="A152" s="150" t="str">
        <f>+A85</f>
        <v>Porcentaje de autoridades laborales, sindicatos, instituciones de educación superior autónomas, personas físicas y morales sensibilizados en materia de Políticas de Acceso, Gobierno Abierto y Transparencia Proactiva.</v>
      </c>
      <c r="B152" s="151"/>
      <c r="C152" s="151"/>
      <c r="D152" s="151"/>
      <c r="E152" s="151"/>
      <c r="F152" s="151"/>
      <c r="G152" s="152"/>
      <c r="H152" s="53"/>
    </row>
    <row r="153" spans="1:8" ht="46.5" customHeight="1">
      <c r="A153" s="49" t="s">
        <v>193</v>
      </c>
      <c r="B153" s="153" t="s">
        <v>1450</v>
      </c>
      <c r="C153" s="154"/>
      <c r="D153" s="154"/>
      <c r="E153" s="154"/>
      <c r="F153" s="154"/>
      <c r="G153" s="155"/>
      <c r="H153" s="53"/>
    </row>
    <row r="154" spans="1:8" ht="15.75">
      <c r="A154" s="49" t="s">
        <v>6</v>
      </c>
      <c r="B154" s="153" t="s">
        <v>1451</v>
      </c>
      <c r="C154" s="154"/>
      <c r="D154" s="154"/>
      <c r="E154" s="154"/>
      <c r="F154" s="154"/>
      <c r="G154" s="155"/>
      <c r="H154" s="53"/>
    </row>
    <row r="155" spans="1:8" ht="15.75">
      <c r="A155" s="49" t="s">
        <v>195</v>
      </c>
      <c r="B155" s="95" t="s">
        <v>259</v>
      </c>
      <c r="C155" s="95"/>
      <c r="D155" s="95"/>
      <c r="E155" s="95"/>
      <c r="F155" s="95"/>
      <c r="G155" s="95"/>
      <c r="H155" s="53"/>
    </row>
    <row r="156" spans="1:8" ht="15.75">
      <c r="A156" s="150" t="str">
        <f>+A89</f>
        <v>Porcentaje de capacitaciones especializadas impartidas</v>
      </c>
      <c r="B156" s="151"/>
      <c r="C156" s="151"/>
      <c r="D156" s="151"/>
      <c r="E156" s="151"/>
      <c r="F156" s="151"/>
      <c r="G156" s="152"/>
      <c r="H156" s="53"/>
    </row>
    <row r="157" spans="1:8" ht="15.75">
      <c r="A157" s="49" t="s">
        <v>193</v>
      </c>
      <c r="B157" s="153" t="s">
        <v>1452</v>
      </c>
      <c r="C157" s="154"/>
      <c r="D157" s="154"/>
      <c r="E157" s="154"/>
      <c r="F157" s="154"/>
      <c r="G157" s="155"/>
      <c r="H157" s="53"/>
    </row>
    <row r="158" spans="1:8" ht="15.75">
      <c r="A158" s="49" t="s">
        <v>6</v>
      </c>
      <c r="B158" s="94" t="s">
        <v>1453</v>
      </c>
      <c r="C158" s="94"/>
      <c r="D158" s="94"/>
      <c r="E158" s="94"/>
      <c r="F158" s="94"/>
      <c r="G158" s="94"/>
      <c r="H158" s="53"/>
    </row>
    <row r="159" spans="1:8" ht="15.75">
      <c r="A159" s="49" t="s">
        <v>195</v>
      </c>
      <c r="B159" s="95" t="s">
        <v>259</v>
      </c>
      <c r="C159" s="95"/>
      <c r="D159" s="95"/>
      <c r="E159" s="95"/>
      <c r="F159" s="95"/>
      <c r="G159" s="95"/>
      <c r="H159" s="53"/>
    </row>
    <row r="160" spans="1:8" ht="15.75">
      <c r="A160" s="150" t="str">
        <f>+A93</f>
        <v>Porcentaje de sujetos obligados revisados que cargaron la información correspondiente en la Plataforma Nacional de Transparencia.</v>
      </c>
      <c r="B160" s="151"/>
      <c r="C160" s="151"/>
      <c r="D160" s="151"/>
      <c r="E160" s="151"/>
      <c r="F160" s="151"/>
      <c r="G160" s="152"/>
      <c r="H160" s="53"/>
    </row>
    <row r="161" spans="1:8" ht="15.75">
      <c r="A161" s="49" t="s">
        <v>193</v>
      </c>
      <c r="B161" s="94" t="s">
        <v>1454</v>
      </c>
      <c r="C161" s="94"/>
      <c r="D161" s="94"/>
      <c r="E161" s="94"/>
      <c r="F161" s="94"/>
      <c r="G161" s="94"/>
      <c r="H161" s="53"/>
    </row>
    <row r="162" spans="1:8" ht="15.75">
      <c r="A162" s="49" t="s">
        <v>6</v>
      </c>
      <c r="B162" s="94" t="s">
        <v>1455</v>
      </c>
      <c r="C162" s="94"/>
      <c r="D162" s="94"/>
      <c r="E162" s="94"/>
      <c r="F162" s="94"/>
      <c r="G162" s="94"/>
      <c r="H162" s="53"/>
    </row>
    <row r="163" spans="1:8" ht="42" customHeight="1">
      <c r="A163" s="49" t="s">
        <v>195</v>
      </c>
      <c r="B163" s="95" t="s">
        <v>1456</v>
      </c>
      <c r="C163" s="95"/>
      <c r="D163" s="95"/>
      <c r="E163" s="95"/>
      <c r="F163" s="95"/>
      <c r="G163" s="95"/>
      <c r="H163" s="53"/>
    </row>
    <row r="164" spans="1:8" ht="15.75">
      <c r="A164" s="150" t="str">
        <f>+A97</f>
        <v>Porcentaje de acciones de verificación sobre la calidad de las respuestas a solicitudes de información de las autoridades laborales, sindicatos, instituciones de educación superior autónomas, personas físicas y morales.  </v>
      </c>
      <c r="B164" s="151"/>
      <c r="C164" s="151"/>
      <c r="D164" s="151"/>
      <c r="E164" s="151"/>
      <c r="F164" s="151"/>
      <c r="G164" s="152"/>
      <c r="H164" s="53"/>
    </row>
    <row r="165" spans="1:8" ht="31.5" customHeight="1">
      <c r="A165" s="49" t="s">
        <v>193</v>
      </c>
      <c r="B165" s="153" t="s">
        <v>1457</v>
      </c>
      <c r="C165" s="154"/>
      <c r="D165" s="154"/>
      <c r="E165" s="154"/>
      <c r="F165" s="154"/>
      <c r="G165" s="155"/>
      <c r="H165" s="53"/>
    </row>
    <row r="166" spans="1:8" ht="15.75">
      <c r="A166" s="49" t="s">
        <v>6</v>
      </c>
      <c r="B166" s="94" t="s">
        <v>1451</v>
      </c>
      <c r="C166" s="94"/>
      <c r="D166" s="94"/>
      <c r="E166" s="94"/>
      <c r="F166" s="94"/>
      <c r="G166" s="94"/>
      <c r="H166" s="53"/>
    </row>
    <row r="167" spans="1:8" ht="15.75">
      <c r="A167" s="49" t="s">
        <v>195</v>
      </c>
      <c r="B167" s="95"/>
      <c r="C167" s="95"/>
      <c r="D167" s="95"/>
      <c r="E167" s="95"/>
      <c r="F167" s="95"/>
      <c r="G167" s="95"/>
      <c r="H167" s="53"/>
    </row>
    <row r="168" spans="1:8" ht="15.75">
      <c r="A168" s="150" t="str">
        <f>+A101</f>
        <v>Porcentaje de  requerimientos atendidos por  las autoridades laborales, sindicatos, instituciones de educación superior públicas, personas físicas y morales</v>
      </c>
      <c r="B168" s="151"/>
      <c r="C168" s="151"/>
      <c r="D168" s="151"/>
      <c r="E168" s="151"/>
      <c r="F168" s="151"/>
      <c r="G168" s="152"/>
      <c r="H168" s="53"/>
    </row>
    <row r="169" spans="1:8" ht="43.5" customHeight="1">
      <c r="A169" s="49" t="s">
        <v>193</v>
      </c>
      <c r="B169" s="153" t="s">
        <v>1458</v>
      </c>
      <c r="C169" s="154"/>
      <c r="D169" s="154"/>
      <c r="E169" s="154"/>
      <c r="F169" s="154"/>
      <c r="G169" s="155"/>
      <c r="H169" s="53"/>
    </row>
    <row r="170" spans="1:8" ht="15.75">
      <c r="A170" s="49" t="s">
        <v>6</v>
      </c>
      <c r="B170" s="94" t="s">
        <v>1437</v>
      </c>
      <c r="C170" s="94"/>
      <c r="D170" s="94"/>
      <c r="E170" s="94"/>
      <c r="F170" s="94"/>
      <c r="G170" s="94"/>
      <c r="H170" s="53"/>
    </row>
    <row r="171" spans="1:8" ht="41.25" customHeight="1">
      <c r="A171" s="49" t="s">
        <v>195</v>
      </c>
      <c r="B171" s="95" t="s">
        <v>1459</v>
      </c>
      <c r="C171" s="95"/>
      <c r="D171" s="95"/>
      <c r="E171" s="95"/>
      <c r="F171" s="95"/>
      <c r="G171" s="95"/>
      <c r="H171" s="53"/>
    </row>
    <row r="172" spans="1:8" ht="15.75">
      <c r="A172" s="146"/>
      <c r="B172" s="146"/>
      <c r="C172" s="146"/>
      <c r="D172" s="146"/>
      <c r="E172" s="146"/>
      <c r="F172" s="146"/>
      <c r="G172" s="146"/>
      <c r="H172" s="53"/>
    </row>
    <row r="173" spans="1:8" ht="15.75">
      <c r="A173" s="96" t="s">
        <v>226</v>
      </c>
      <c r="B173" s="96"/>
      <c r="C173" s="96"/>
      <c r="D173" s="96"/>
      <c r="E173" s="96"/>
      <c r="F173" s="96"/>
      <c r="G173" s="96"/>
      <c r="H173" s="53"/>
    </row>
    <row r="174" spans="1:8" ht="15.75">
      <c r="A174" s="147" t="s">
        <v>1460</v>
      </c>
      <c r="B174" s="148"/>
      <c r="C174" s="148"/>
      <c r="D174" s="148"/>
      <c r="E174" s="148"/>
      <c r="F174" s="148"/>
      <c r="G174" s="149"/>
      <c r="H174" s="53"/>
    </row>
    <row r="175" spans="1:7" ht="31.5" customHeight="1">
      <c r="A175" s="93" t="s">
        <v>229</v>
      </c>
      <c r="B175" s="93"/>
      <c r="C175" s="93"/>
      <c r="D175" s="93"/>
      <c r="E175" s="93"/>
      <c r="F175" s="93"/>
      <c r="G175" s="93"/>
    </row>
  </sheetData>
  <sheetProtection/>
  <mergeCells count="288">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A173:G173"/>
    <mergeCell ref="A174:G174"/>
    <mergeCell ref="A175:G175"/>
  </mergeCells>
  <conditionalFormatting sqref="D37">
    <cfRule type="cellIs" priority="1" dxfId="1" operator="equal">
      <formula>"Seleccionar"</formula>
    </cfRule>
  </conditionalFormatting>
  <printOptions horizontalCentered="1"/>
  <pageMargins left="0.7480314960629921" right="0.7480314960629921" top="0.984251968503937" bottom="0.984251968503937" header="0.5118110236220472" footer="0.5118110236220472"/>
  <pageSetup horizontalDpi="600" verticalDpi="600" orientation="landscape" scale="50" r:id="rId1"/>
  <rowBreaks count="4" manualBreakCount="4">
    <brk id="48" max="255" man="1"/>
    <brk id="90" max="255" man="1"/>
    <brk id="135" max="255" man="1"/>
    <brk id="167" max="255" man="1"/>
  </rowBreaks>
</worksheet>
</file>

<file path=xl/worksheets/sheet5.xml><?xml version="1.0" encoding="utf-8"?>
<worksheet xmlns="http://schemas.openxmlformats.org/spreadsheetml/2006/main" xmlns:r="http://schemas.openxmlformats.org/officeDocument/2006/relationships">
  <dimension ref="A1:G219"/>
  <sheetViews>
    <sheetView showGridLines="0" tabSelected="1" view="pageBreakPreview" zoomScale="70" zoomScaleSheetLayoutView="70" zoomScalePageLayoutView="0" workbookViewId="0" topLeftCell="A184">
      <selection activeCell="A29" sqref="A29:A30"/>
    </sheetView>
  </sheetViews>
  <sheetFormatPr defaultColWidth="11.421875" defaultRowHeight="15"/>
  <cols>
    <col min="1" max="3" width="45.7109375" style="65" customWidth="1"/>
    <col min="4" max="4" width="17.140625" style="65" customWidth="1"/>
    <col min="5" max="5" width="26.140625" style="65" customWidth="1"/>
    <col min="6" max="6" width="41.8515625" style="65" customWidth="1"/>
    <col min="7" max="7" width="13.28125" style="65" customWidth="1"/>
    <col min="8" max="16384" width="11.421875" style="65"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
      <c r="A4" s="107" t="s">
        <v>83</v>
      </c>
      <c r="B4" s="108"/>
      <c r="C4" s="108"/>
      <c r="D4" s="108"/>
      <c r="E4" s="108"/>
      <c r="F4" s="108"/>
      <c r="G4" s="109"/>
    </row>
    <row r="5" spans="1:7" ht="31.5" customHeight="1">
      <c r="A5" s="137" t="s">
        <v>84</v>
      </c>
      <c r="B5" s="138"/>
      <c r="C5" s="139"/>
      <c r="D5" s="140" t="s">
        <v>1371</v>
      </c>
      <c r="E5" s="141"/>
      <c r="F5" s="141"/>
      <c r="G5" s="142"/>
    </row>
    <row r="6" spans="1:7" ht="15" customHeight="1">
      <c r="A6" s="137" t="s">
        <v>86</v>
      </c>
      <c r="B6" s="138"/>
      <c r="C6" s="139"/>
      <c r="D6" s="140" t="s">
        <v>87</v>
      </c>
      <c r="E6" s="141"/>
      <c r="F6" s="141"/>
      <c r="G6" s="142"/>
    </row>
    <row r="7" spans="1:7" ht="15">
      <c r="A7" s="137" t="s">
        <v>88</v>
      </c>
      <c r="B7" s="138"/>
      <c r="C7" s="139"/>
      <c r="D7" s="140" t="s">
        <v>89</v>
      </c>
      <c r="E7" s="141"/>
      <c r="F7" s="141"/>
      <c r="G7" s="142"/>
    </row>
    <row r="8" spans="1:7" ht="15" customHeight="1">
      <c r="A8" s="137" t="s">
        <v>90</v>
      </c>
      <c r="B8" s="138"/>
      <c r="C8" s="139"/>
      <c r="D8" s="140" t="s">
        <v>1670</v>
      </c>
      <c r="E8" s="141"/>
      <c r="F8" s="141"/>
      <c r="G8" s="142"/>
    </row>
    <row r="9" spans="1:7" ht="15">
      <c r="A9" s="137" t="s">
        <v>92</v>
      </c>
      <c r="B9" s="138"/>
      <c r="C9" s="139"/>
      <c r="D9" s="140" t="s">
        <v>93</v>
      </c>
      <c r="E9" s="141"/>
      <c r="F9" s="141"/>
      <c r="G9" s="142"/>
    </row>
    <row r="10" spans="1:7" ht="15">
      <c r="A10" s="115" t="s">
        <v>94</v>
      </c>
      <c r="B10" s="115"/>
      <c r="C10" s="115"/>
      <c r="D10" s="115"/>
      <c r="E10" s="115"/>
      <c r="F10" s="115"/>
      <c r="G10" s="115"/>
    </row>
    <row r="11" spans="1:7" ht="16.5">
      <c r="A11" s="126" t="s">
        <v>95</v>
      </c>
      <c r="B11" s="127"/>
      <c r="C11" s="127"/>
      <c r="D11" s="127"/>
      <c r="E11" s="127"/>
      <c r="F11" s="127"/>
      <c r="G11" s="128"/>
    </row>
    <row r="12" spans="1:7" ht="16.5">
      <c r="A12" s="129" t="s">
        <v>96</v>
      </c>
      <c r="B12" s="130"/>
      <c r="C12" s="130"/>
      <c r="D12" s="130"/>
      <c r="E12" s="130"/>
      <c r="F12" s="130"/>
      <c r="G12" s="131"/>
    </row>
    <row r="13" spans="1:7" ht="16.5">
      <c r="A13" s="132" t="s">
        <v>970</v>
      </c>
      <c r="B13" s="133"/>
      <c r="C13" s="133"/>
      <c r="D13" s="133"/>
      <c r="E13" s="133"/>
      <c r="F13" s="133"/>
      <c r="G13" s="134"/>
    </row>
    <row r="14" spans="1:7" ht="16.5">
      <c r="A14" s="66"/>
      <c r="B14" s="130" t="s">
        <v>98</v>
      </c>
      <c r="C14" s="130"/>
      <c r="D14" s="130"/>
      <c r="E14" s="130"/>
      <c r="F14" s="130"/>
      <c r="G14" s="131"/>
    </row>
    <row r="15" spans="1:7" ht="16.5">
      <c r="A15" s="67"/>
      <c r="B15" s="170" t="s">
        <v>1373</v>
      </c>
      <c r="C15" s="170"/>
      <c r="D15" s="170"/>
      <c r="E15" s="170"/>
      <c r="F15" s="170"/>
      <c r="G15" s="171"/>
    </row>
    <row r="16" spans="1:7" ht="15">
      <c r="A16" s="115" t="s">
        <v>100</v>
      </c>
      <c r="B16" s="115"/>
      <c r="C16" s="115"/>
      <c r="D16" s="115"/>
      <c r="E16" s="115"/>
      <c r="F16" s="115"/>
      <c r="G16" s="115"/>
    </row>
    <row r="17" spans="1:7" ht="15">
      <c r="A17" s="110" t="s">
        <v>101</v>
      </c>
      <c r="B17" s="111"/>
      <c r="C17" s="112" t="s">
        <v>102</v>
      </c>
      <c r="D17" s="113"/>
      <c r="E17" s="113"/>
      <c r="F17" s="113"/>
      <c r="G17" s="114"/>
    </row>
    <row r="18" spans="1:7" ht="15">
      <c r="A18" s="110" t="s">
        <v>103</v>
      </c>
      <c r="B18" s="111"/>
      <c r="C18" s="112" t="s">
        <v>104</v>
      </c>
      <c r="D18" s="113"/>
      <c r="E18" s="113"/>
      <c r="F18" s="113"/>
      <c r="G18" s="114"/>
    </row>
    <row r="19" spans="1:7" ht="15">
      <c r="A19" s="110" t="s">
        <v>105</v>
      </c>
      <c r="B19" s="111"/>
      <c r="C19" s="112" t="s">
        <v>106</v>
      </c>
      <c r="D19" s="113"/>
      <c r="E19" s="113"/>
      <c r="F19" s="113"/>
      <c r="G19" s="114"/>
    </row>
    <row r="20" spans="1:7" ht="15">
      <c r="A20" s="110" t="s">
        <v>107</v>
      </c>
      <c r="B20" s="111"/>
      <c r="C20" s="112" t="s">
        <v>108</v>
      </c>
      <c r="D20" s="113"/>
      <c r="E20" s="113"/>
      <c r="F20" s="113"/>
      <c r="G20" s="114"/>
    </row>
    <row r="21" spans="1:7" ht="15">
      <c r="A21" s="115" t="s">
        <v>109</v>
      </c>
      <c r="B21" s="115"/>
      <c r="C21" s="116"/>
      <c r="D21" s="116"/>
      <c r="E21" s="116"/>
      <c r="F21" s="116"/>
      <c r="G21" s="116"/>
    </row>
    <row r="22" spans="1:7" ht="15" customHeight="1">
      <c r="A22" s="117"/>
      <c r="B22" s="118"/>
      <c r="C22" s="118"/>
      <c r="D22" s="119"/>
      <c r="E22" s="41" t="s">
        <v>1</v>
      </c>
      <c r="F22" s="41" t="s">
        <v>110</v>
      </c>
      <c r="G22" s="41" t="s">
        <v>111</v>
      </c>
    </row>
    <row r="23" spans="1:7" ht="15" customHeight="1">
      <c r="A23" s="120"/>
      <c r="B23" s="121"/>
      <c r="C23" s="121"/>
      <c r="D23" s="122"/>
      <c r="E23" s="42" t="s">
        <v>2</v>
      </c>
      <c r="F23" s="42" t="s">
        <v>2</v>
      </c>
      <c r="G23" s="42" t="s">
        <v>112</v>
      </c>
    </row>
    <row r="24" spans="1:7" ht="15">
      <c r="A24" s="123" t="s">
        <v>113</v>
      </c>
      <c r="B24" s="124"/>
      <c r="C24" s="124"/>
      <c r="D24" s="125"/>
      <c r="E24" s="43">
        <f>'E001'!B17</f>
        <v>398.715279</v>
      </c>
      <c r="F24" s="43">
        <f>'E001'!C17</f>
        <v>372.69733589</v>
      </c>
      <c r="G24" s="44">
        <f>F24/E24</f>
        <v>0.9347455578445489</v>
      </c>
    </row>
    <row r="25" spans="1:7" ht="15">
      <c r="A25" s="123" t="s">
        <v>114</v>
      </c>
      <c r="B25" s="124"/>
      <c r="C25" s="124"/>
      <c r="D25" s="125"/>
      <c r="E25" s="43">
        <f>'E001'!B18</f>
        <v>372.69733589000003</v>
      </c>
      <c r="F25" s="43">
        <f>'E001'!C18</f>
        <v>372.69733589</v>
      </c>
      <c r="G25" s="44">
        <f>F25/E25</f>
        <v>0.9999999999999999</v>
      </c>
    </row>
    <row r="26" spans="1:7" ht="15">
      <c r="A26" s="107" t="s">
        <v>115</v>
      </c>
      <c r="B26" s="108"/>
      <c r="C26" s="108"/>
      <c r="D26" s="108"/>
      <c r="E26" s="108"/>
      <c r="F26" s="108"/>
      <c r="G26" s="109"/>
    </row>
    <row r="27" spans="1:7" ht="15">
      <c r="A27" s="107" t="s">
        <v>116</v>
      </c>
      <c r="B27" s="108"/>
      <c r="C27" s="108"/>
      <c r="D27" s="108"/>
      <c r="E27" s="108"/>
      <c r="F27" s="108"/>
      <c r="G27" s="109"/>
    </row>
    <row r="28" spans="1:7" ht="15">
      <c r="A28" s="106" t="s">
        <v>117</v>
      </c>
      <c r="B28" s="106"/>
      <c r="C28" s="106"/>
      <c r="D28" s="106"/>
      <c r="E28" s="106"/>
      <c r="F28" s="106" t="s">
        <v>118</v>
      </c>
      <c r="G28" s="106"/>
    </row>
    <row r="29" spans="1:7" ht="15" customHeight="1">
      <c r="A29" s="104" t="s">
        <v>119</v>
      </c>
      <c r="B29" s="104" t="s">
        <v>120</v>
      </c>
      <c r="C29" s="104" t="s">
        <v>65</v>
      </c>
      <c r="D29" s="104" t="s">
        <v>121</v>
      </c>
      <c r="E29" s="104" t="s">
        <v>122</v>
      </c>
      <c r="F29" s="45" t="s">
        <v>123</v>
      </c>
      <c r="G29" s="46">
        <v>45</v>
      </c>
    </row>
    <row r="30" spans="1:7" ht="15">
      <c r="A30" s="105"/>
      <c r="B30" s="105"/>
      <c r="C30" s="105"/>
      <c r="D30" s="105"/>
      <c r="E30" s="105"/>
      <c r="F30" s="45" t="s">
        <v>124</v>
      </c>
      <c r="G30" s="46">
        <v>45</v>
      </c>
    </row>
    <row r="31" spans="1:7" ht="51" customHeight="1">
      <c r="A31" s="100" t="s">
        <v>1374</v>
      </c>
      <c r="B31" s="100" t="s">
        <v>1671</v>
      </c>
      <c r="C31" s="100" t="s">
        <v>1376</v>
      </c>
      <c r="D31" s="102" t="s">
        <v>128</v>
      </c>
      <c r="E31" s="102" t="s">
        <v>129</v>
      </c>
      <c r="F31" s="45" t="s">
        <v>130</v>
      </c>
      <c r="G31" s="47">
        <f>0.3*54.7733734085976+0.3*78.4487429748618+0.2*51.8677504208754+0.2*50.1614150628449</f>
        <v>60.372468011781876</v>
      </c>
    </row>
    <row r="32" spans="1:7" ht="51" customHeight="1">
      <c r="A32" s="101"/>
      <c r="B32" s="101"/>
      <c r="C32" s="101"/>
      <c r="D32" s="103"/>
      <c r="E32" s="103"/>
      <c r="F32" s="45" t="s">
        <v>131</v>
      </c>
      <c r="G32" s="47">
        <v>134.16104002618195</v>
      </c>
    </row>
    <row r="33" spans="1:7" ht="15">
      <c r="A33" s="96" t="s">
        <v>230</v>
      </c>
      <c r="B33" s="96"/>
      <c r="C33" s="96"/>
      <c r="D33" s="96"/>
      <c r="E33" s="96"/>
      <c r="F33" s="96"/>
      <c r="G33" s="96"/>
    </row>
    <row r="34" spans="1:7" ht="15">
      <c r="A34" s="106" t="s">
        <v>117</v>
      </c>
      <c r="B34" s="106"/>
      <c r="C34" s="106"/>
      <c r="D34" s="106"/>
      <c r="E34" s="106"/>
      <c r="F34" s="106" t="s">
        <v>118</v>
      </c>
      <c r="G34" s="106"/>
    </row>
    <row r="35" spans="1:7" ht="15" customHeight="1">
      <c r="A35" s="104" t="s">
        <v>119</v>
      </c>
      <c r="B35" s="104" t="s">
        <v>120</v>
      </c>
      <c r="C35" s="104" t="s">
        <v>65</v>
      </c>
      <c r="D35" s="104" t="s">
        <v>121</v>
      </c>
      <c r="E35" s="104" t="s">
        <v>122</v>
      </c>
      <c r="F35" s="45" t="s">
        <v>123</v>
      </c>
      <c r="G35" s="46">
        <v>85</v>
      </c>
    </row>
    <row r="36" spans="1:7" ht="15">
      <c r="A36" s="105"/>
      <c r="B36" s="105"/>
      <c r="C36" s="105"/>
      <c r="D36" s="105"/>
      <c r="E36" s="105"/>
      <c r="F36" s="45" t="s">
        <v>124</v>
      </c>
      <c r="G36" s="46">
        <v>85</v>
      </c>
    </row>
    <row r="37" spans="1:7" ht="15" customHeight="1">
      <c r="A37" s="100" t="s">
        <v>1516</v>
      </c>
      <c r="B37" s="100" t="s">
        <v>1672</v>
      </c>
      <c r="C37" s="100" t="s">
        <v>1673</v>
      </c>
      <c r="D37" s="102" t="s">
        <v>128</v>
      </c>
      <c r="E37" s="102" t="s">
        <v>129</v>
      </c>
      <c r="F37" s="45" t="s">
        <v>130</v>
      </c>
      <c r="G37" s="47">
        <f>(0.375*51.7374643009917)+(0.375*78.4487429748613)+(0.25*51.8677504208754)</f>
        <v>61.78676533366373</v>
      </c>
    </row>
    <row r="38" spans="1:7" ht="27">
      <c r="A38" s="101"/>
      <c r="B38" s="101"/>
      <c r="C38" s="101"/>
      <c r="D38" s="103"/>
      <c r="E38" s="103"/>
      <c r="F38" s="45" t="s">
        <v>131</v>
      </c>
      <c r="G38" s="47">
        <v>72.69031215725144</v>
      </c>
    </row>
    <row r="39" spans="1:7" ht="15">
      <c r="A39" s="96" t="s">
        <v>231</v>
      </c>
      <c r="B39" s="96"/>
      <c r="C39" s="96"/>
      <c r="D39" s="96"/>
      <c r="E39" s="96"/>
      <c r="F39" s="96"/>
      <c r="G39" s="96"/>
    </row>
    <row r="40" spans="1:7" ht="15">
      <c r="A40" s="106" t="s">
        <v>117</v>
      </c>
      <c r="B40" s="106"/>
      <c r="C40" s="106"/>
      <c r="D40" s="106"/>
      <c r="E40" s="106"/>
      <c r="F40" s="106" t="s">
        <v>118</v>
      </c>
      <c r="G40" s="106"/>
    </row>
    <row r="41" spans="1:7" ht="15" customHeight="1">
      <c r="A41" s="104" t="s">
        <v>119</v>
      </c>
      <c r="B41" s="104" t="s">
        <v>120</v>
      </c>
      <c r="C41" s="104" t="s">
        <v>65</v>
      </c>
      <c r="D41" s="104" t="s">
        <v>121</v>
      </c>
      <c r="E41" s="104" t="s">
        <v>122</v>
      </c>
      <c r="F41" s="45" t="s">
        <v>123</v>
      </c>
      <c r="G41" s="46">
        <v>90</v>
      </c>
    </row>
    <row r="42" spans="1:7" ht="15">
      <c r="A42" s="105"/>
      <c r="B42" s="105"/>
      <c r="C42" s="105"/>
      <c r="D42" s="105"/>
      <c r="E42" s="105"/>
      <c r="F42" s="45" t="s">
        <v>124</v>
      </c>
      <c r="G42" s="46">
        <v>90</v>
      </c>
    </row>
    <row r="43" spans="1:7" ht="44.25" customHeight="1">
      <c r="A43" s="100" t="s">
        <v>1674</v>
      </c>
      <c r="B43" s="100" t="s">
        <v>1675</v>
      </c>
      <c r="C43" s="100" t="s">
        <v>1676</v>
      </c>
      <c r="D43" s="102" t="s">
        <v>5</v>
      </c>
      <c r="E43" s="102" t="s">
        <v>364</v>
      </c>
      <c r="F43" s="45" t="s">
        <v>130</v>
      </c>
      <c r="G43" s="47">
        <f>4/5*100</f>
        <v>80</v>
      </c>
    </row>
    <row r="44" spans="1:7" ht="44.25" customHeight="1">
      <c r="A44" s="101"/>
      <c r="B44" s="101"/>
      <c r="C44" s="101"/>
      <c r="D44" s="103"/>
      <c r="E44" s="103"/>
      <c r="F44" s="45" t="s">
        <v>131</v>
      </c>
      <c r="G44" s="47">
        <v>88.88888888888889</v>
      </c>
    </row>
    <row r="45" spans="1:7" ht="15" customHeight="1">
      <c r="A45" s="104" t="s">
        <v>119</v>
      </c>
      <c r="B45" s="104" t="s">
        <v>120</v>
      </c>
      <c r="C45" s="104" t="s">
        <v>65</v>
      </c>
      <c r="D45" s="104" t="s">
        <v>121</v>
      </c>
      <c r="E45" s="104" t="s">
        <v>122</v>
      </c>
      <c r="F45" s="45" t="s">
        <v>123</v>
      </c>
      <c r="G45" s="46">
        <v>100</v>
      </c>
    </row>
    <row r="46" spans="1:7" ht="15">
      <c r="A46" s="105"/>
      <c r="B46" s="105"/>
      <c r="C46" s="105"/>
      <c r="D46" s="105"/>
      <c r="E46" s="105"/>
      <c r="F46" s="45" t="s">
        <v>124</v>
      </c>
      <c r="G46" s="46">
        <v>100</v>
      </c>
    </row>
    <row r="47" spans="1:7" ht="34.5" customHeight="1">
      <c r="A47" s="100" t="s">
        <v>1677</v>
      </c>
      <c r="B47" s="100" t="s">
        <v>1678</v>
      </c>
      <c r="C47" s="100" t="s">
        <v>1679</v>
      </c>
      <c r="D47" s="102" t="s">
        <v>5</v>
      </c>
      <c r="E47" s="102" t="s">
        <v>142</v>
      </c>
      <c r="F47" s="45" t="s">
        <v>130</v>
      </c>
      <c r="G47" s="47">
        <f>+((117+25+32+4)+(2+2+4+2)+(909+219+127+106)+(197+61+114+147))/((118+28+32+8)+(2+2+4+2)+(950+243+130+107)+(197+61+114+147))*100</f>
        <v>96.41025641025641</v>
      </c>
    </row>
    <row r="48" spans="1:7" ht="34.5" customHeight="1">
      <c r="A48" s="101"/>
      <c r="B48" s="101"/>
      <c r="C48" s="101"/>
      <c r="D48" s="103"/>
      <c r="E48" s="103"/>
      <c r="F48" s="45" t="s">
        <v>131</v>
      </c>
      <c r="G48" s="47">
        <v>96.41025641025641</v>
      </c>
    </row>
    <row r="49" spans="1:7" ht="15">
      <c r="A49" s="96" t="s">
        <v>232</v>
      </c>
      <c r="B49" s="96"/>
      <c r="C49" s="96"/>
      <c r="D49" s="96"/>
      <c r="E49" s="96"/>
      <c r="F49" s="96"/>
      <c r="G49" s="96"/>
    </row>
    <row r="50" spans="1:7" ht="15">
      <c r="A50" s="106" t="s">
        <v>117</v>
      </c>
      <c r="B50" s="106"/>
      <c r="C50" s="106"/>
      <c r="D50" s="106"/>
      <c r="E50" s="106"/>
      <c r="F50" s="106" t="s">
        <v>118</v>
      </c>
      <c r="G50" s="106"/>
    </row>
    <row r="51" spans="1:7" ht="15" customHeight="1">
      <c r="A51" s="104" t="s">
        <v>119</v>
      </c>
      <c r="B51" s="104" t="s">
        <v>120</v>
      </c>
      <c r="C51" s="104" t="s">
        <v>65</v>
      </c>
      <c r="D51" s="104" t="s">
        <v>121</v>
      </c>
      <c r="E51" s="104" t="s">
        <v>122</v>
      </c>
      <c r="F51" s="45" t="s">
        <v>123</v>
      </c>
      <c r="G51" s="46">
        <v>100</v>
      </c>
    </row>
    <row r="52" spans="1:7" ht="15">
      <c r="A52" s="105"/>
      <c r="B52" s="105"/>
      <c r="C52" s="105"/>
      <c r="D52" s="105"/>
      <c r="E52" s="105"/>
      <c r="F52" s="45" t="s">
        <v>124</v>
      </c>
      <c r="G52" s="46">
        <v>100</v>
      </c>
    </row>
    <row r="53" spans="1:7" ht="36.75" customHeight="1">
      <c r="A53" s="100" t="s">
        <v>1680</v>
      </c>
      <c r="B53" s="100" t="s">
        <v>1681</v>
      </c>
      <c r="C53" s="100" t="s">
        <v>1682</v>
      </c>
      <c r="D53" s="102" t="s">
        <v>5</v>
      </c>
      <c r="E53" s="102" t="s">
        <v>142</v>
      </c>
      <c r="F53" s="45" t="s">
        <v>130</v>
      </c>
      <c r="G53" s="47">
        <f>+(3/3)*100</f>
        <v>100</v>
      </c>
    </row>
    <row r="54" spans="1:7" ht="36.75" customHeight="1">
      <c r="A54" s="101"/>
      <c r="B54" s="101"/>
      <c r="C54" s="101"/>
      <c r="D54" s="103"/>
      <c r="E54" s="103"/>
      <c r="F54" s="45" t="s">
        <v>131</v>
      </c>
      <c r="G54" s="47">
        <v>100</v>
      </c>
    </row>
    <row r="55" spans="1:7" ht="15" customHeight="1">
      <c r="A55" s="104" t="s">
        <v>119</v>
      </c>
      <c r="B55" s="104" t="s">
        <v>120</v>
      </c>
      <c r="C55" s="104" t="s">
        <v>65</v>
      </c>
      <c r="D55" s="104" t="s">
        <v>121</v>
      </c>
      <c r="E55" s="104" t="s">
        <v>122</v>
      </c>
      <c r="F55" s="45" t="s">
        <v>123</v>
      </c>
      <c r="G55" s="46">
        <v>100</v>
      </c>
    </row>
    <row r="56" spans="1:7" ht="15">
      <c r="A56" s="105"/>
      <c r="B56" s="105"/>
      <c r="C56" s="105"/>
      <c r="D56" s="105"/>
      <c r="E56" s="105"/>
      <c r="F56" s="45" t="s">
        <v>124</v>
      </c>
      <c r="G56" s="46">
        <v>100</v>
      </c>
    </row>
    <row r="57" spans="1:7" ht="15" customHeight="1">
      <c r="A57" s="100" t="s">
        <v>1683</v>
      </c>
      <c r="B57" s="100" t="s">
        <v>1684</v>
      </c>
      <c r="C57" s="100" t="s">
        <v>1685</v>
      </c>
      <c r="D57" s="102" t="s">
        <v>5</v>
      </c>
      <c r="E57" s="102" t="s">
        <v>142</v>
      </c>
      <c r="F57" s="45" t="s">
        <v>130</v>
      </c>
      <c r="G57" s="47">
        <f>(3/10)*100</f>
        <v>30</v>
      </c>
    </row>
    <row r="58" spans="1:7" ht="27">
      <c r="A58" s="101"/>
      <c r="B58" s="101"/>
      <c r="C58" s="101"/>
      <c r="D58" s="103"/>
      <c r="E58" s="103"/>
      <c r="F58" s="45" t="s">
        <v>131</v>
      </c>
      <c r="G58" s="47">
        <v>30</v>
      </c>
    </row>
    <row r="59" spans="1:7" ht="15" customHeight="1">
      <c r="A59" s="104" t="s">
        <v>119</v>
      </c>
      <c r="B59" s="104" t="s">
        <v>120</v>
      </c>
      <c r="C59" s="104" t="s">
        <v>65</v>
      </c>
      <c r="D59" s="104" t="s">
        <v>121</v>
      </c>
      <c r="E59" s="104" t="s">
        <v>122</v>
      </c>
      <c r="F59" s="45" t="s">
        <v>123</v>
      </c>
      <c r="G59" s="46">
        <v>90</v>
      </c>
    </row>
    <row r="60" spans="1:7" ht="15">
      <c r="A60" s="105"/>
      <c r="B60" s="105"/>
      <c r="C60" s="105"/>
      <c r="D60" s="105"/>
      <c r="E60" s="105"/>
      <c r="F60" s="45" t="s">
        <v>124</v>
      </c>
      <c r="G60" s="46">
        <v>90</v>
      </c>
    </row>
    <row r="61" spans="1:7" ht="15" customHeight="1">
      <c r="A61" s="100" t="s">
        <v>1402</v>
      </c>
      <c r="B61" s="100" t="s">
        <v>1686</v>
      </c>
      <c r="C61" s="100" t="s">
        <v>1687</v>
      </c>
      <c r="D61" s="102" t="s">
        <v>5</v>
      </c>
      <c r="E61" s="102" t="s">
        <v>167</v>
      </c>
      <c r="F61" s="45" t="s">
        <v>130</v>
      </c>
      <c r="G61" s="47">
        <f>+(117+25+32+4)/(118+28+32+8)*100</f>
        <v>95.6989247311828</v>
      </c>
    </row>
    <row r="62" spans="1:7" ht="27">
      <c r="A62" s="101"/>
      <c r="B62" s="101"/>
      <c r="C62" s="101"/>
      <c r="D62" s="103"/>
      <c r="E62" s="103"/>
      <c r="F62" s="45" t="s">
        <v>131</v>
      </c>
      <c r="G62" s="47">
        <v>106.3321385902031</v>
      </c>
    </row>
    <row r="63" spans="1:7" ht="15" customHeight="1">
      <c r="A63" s="104" t="s">
        <v>119</v>
      </c>
      <c r="B63" s="104" t="s">
        <v>120</v>
      </c>
      <c r="C63" s="104" t="s">
        <v>65</v>
      </c>
      <c r="D63" s="104" t="s">
        <v>121</v>
      </c>
      <c r="E63" s="104" t="s">
        <v>122</v>
      </c>
      <c r="F63" s="45" t="s">
        <v>123</v>
      </c>
      <c r="G63" s="46">
        <v>90</v>
      </c>
    </row>
    <row r="64" spans="1:7" ht="15">
      <c r="A64" s="105"/>
      <c r="B64" s="105"/>
      <c r="C64" s="105"/>
      <c r="D64" s="105"/>
      <c r="E64" s="105"/>
      <c r="F64" s="45" t="s">
        <v>124</v>
      </c>
      <c r="G64" s="46">
        <v>90</v>
      </c>
    </row>
    <row r="65" spans="1:7" ht="15" customHeight="1">
      <c r="A65" s="100" t="s">
        <v>1688</v>
      </c>
      <c r="B65" s="100" t="s">
        <v>1686</v>
      </c>
      <c r="C65" s="100" t="s">
        <v>1689</v>
      </c>
      <c r="D65" s="102" t="s">
        <v>5</v>
      </c>
      <c r="E65" s="102" t="s">
        <v>167</v>
      </c>
      <c r="F65" s="45" t="s">
        <v>130</v>
      </c>
      <c r="G65" s="47">
        <f>+(2+2+4+2)/(2+2+4+2)*100</f>
        <v>100</v>
      </c>
    </row>
    <row r="66" spans="1:7" ht="27">
      <c r="A66" s="101"/>
      <c r="B66" s="101"/>
      <c r="C66" s="101"/>
      <c r="D66" s="103"/>
      <c r="E66" s="103"/>
      <c r="F66" s="45" t="s">
        <v>131</v>
      </c>
      <c r="G66" s="47">
        <v>111.11111111111111</v>
      </c>
    </row>
    <row r="67" spans="1:7" ht="15" customHeight="1">
      <c r="A67" s="104" t="s">
        <v>119</v>
      </c>
      <c r="B67" s="104" t="s">
        <v>120</v>
      </c>
      <c r="C67" s="104" t="s">
        <v>65</v>
      </c>
      <c r="D67" s="104" t="s">
        <v>121</v>
      </c>
      <c r="E67" s="104" t="s">
        <v>122</v>
      </c>
      <c r="F67" s="45" t="s">
        <v>123</v>
      </c>
      <c r="G67" s="46">
        <v>90</v>
      </c>
    </row>
    <row r="68" spans="1:7" ht="15">
      <c r="A68" s="105"/>
      <c r="B68" s="105"/>
      <c r="C68" s="105"/>
      <c r="D68" s="105"/>
      <c r="E68" s="105"/>
      <c r="F68" s="45" t="s">
        <v>124</v>
      </c>
      <c r="G68" s="46">
        <v>90</v>
      </c>
    </row>
    <row r="69" spans="1:7" ht="33" customHeight="1">
      <c r="A69" s="100" t="s">
        <v>1690</v>
      </c>
      <c r="B69" s="100" t="s">
        <v>1691</v>
      </c>
      <c r="C69" s="100" t="s">
        <v>1692</v>
      </c>
      <c r="D69" s="102" t="s">
        <v>5</v>
      </c>
      <c r="E69" s="102" t="s">
        <v>167</v>
      </c>
      <c r="F69" s="45" t="s">
        <v>130</v>
      </c>
      <c r="G69" s="47">
        <f>+(909+219+127+106)/(950+243+130+107)*100</f>
        <v>95.17482517482517</v>
      </c>
    </row>
    <row r="70" spans="1:7" ht="33" customHeight="1">
      <c r="A70" s="101"/>
      <c r="B70" s="101"/>
      <c r="C70" s="101"/>
      <c r="D70" s="103"/>
      <c r="E70" s="103"/>
      <c r="F70" s="45" t="s">
        <v>131</v>
      </c>
      <c r="G70" s="47">
        <v>105.74980574980574</v>
      </c>
    </row>
    <row r="71" spans="1:7" ht="15" customHeight="1">
      <c r="A71" s="104" t="s">
        <v>119</v>
      </c>
      <c r="B71" s="104" t="s">
        <v>120</v>
      </c>
      <c r="C71" s="104" t="s">
        <v>65</v>
      </c>
      <c r="D71" s="104" t="s">
        <v>121</v>
      </c>
      <c r="E71" s="104" t="s">
        <v>122</v>
      </c>
      <c r="F71" s="45" t="s">
        <v>123</v>
      </c>
      <c r="G71" s="46">
        <v>90</v>
      </c>
    </row>
    <row r="72" spans="1:7" ht="15">
      <c r="A72" s="105"/>
      <c r="B72" s="105"/>
      <c r="C72" s="105"/>
      <c r="D72" s="105"/>
      <c r="E72" s="105"/>
      <c r="F72" s="45" t="s">
        <v>124</v>
      </c>
      <c r="G72" s="46">
        <v>90</v>
      </c>
    </row>
    <row r="73" spans="1:7" ht="34.5" customHeight="1">
      <c r="A73" s="100" t="s">
        <v>1693</v>
      </c>
      <c r="B73" s="100" t="s">
        <v>1691</v>
      </c>
      <c r="C73" s="100" t="s">
        <v>1694</v>
      </c>
      <c r="D73" s="102" t="s">
        <v>5</v>
      </c>
      <c r="E73" s="102" t="s">
        <v>167</v>
      </c>
      <c r="F73" s="45" t="s">
        <v>130</v>
      </c>
      <c r="G73" s="47">
        <f>+(197+61+114+147)/(197+61+114+147)*100</f>
        <v>100</v>
      </c>
    </row>
    <row r="74" spans="1:7" ht="34.5" customHeight="1">
      <c r="A74" s="101"/>
      <c r="B74" s="101"/>
      <c r="C74" s="101"/>
      <c r="D74" s="103"/>
      <c r="E74" s="103"/>
      <c r="F74" s="45" t="s">
        <v>131</v>
      </c>
      <c r="G74" s="47">
        <v>111.11111111111111</v>
      </c>
    </row>
    <row r="75" spans="1:7" ht="15" customHeight="1">
      <c r="A75" s="104" t="s">
        <v>119</v>
      </c>
      <c r="B75" s="104" t="s">
        <v>120</v>
      </c>
      <c r="C75" s="104" t="s">
        <v>65</v>
      </c>
      <c r="D75" s="104" t="s">
        <v>121</v>
      </c>
      <c r="E75" s="104" t="s">
        <v>122</v>
      </c>
      <c r="F75" s="45" t="s">
        <v>123</v>
      </c>
      <c r="G75" s="46">
        <v>100</v>
      </c>
    </row>
    <row r="76" spans="1:7" ht="15">
      <c r="A76" s="105"/>
      <c r="B76" s="105"/>
      <c r="C76" s="105"/>
      <c r="D76" s="105"/>
      <c r="E76" s="105"/>
      <c r="F76" s="45" t="s">
        <v>124</v>
      </c>
      <c r="G76" s="46">
        <v>100</v>
      </c>
    </row>
    <row r="77" spans="1:7" ht="33" customHeight="1">
      <c r="A77" s="100" t="s">
        <v>1695</v>
      </c>
      <c r="B77" s="100" t="s">
        <v>1696</v>
      </c>
      <c r="C77" s="100" t="s">
        <v>1697</v>
      </c>
      <c r="D77" s="102" t="s">
        <v>5</v>
      </c>
      <c r="E77" s="102" t="s">
        <v>142</v>
      </c>
      <c r="F77" s="45" t="s">
        <v>130</v>
      </c>
      <c r="G77" s="47">
        <f>+(46/108)*100</f>
        <v>42.592592592592595</v>
      </c>
    </row>
    <row r="78" spans="1:7" ht="33" customHeight="1">
      <c r="A78" s="101"/>
      <c r="B78" s="101"/>
      <c r="C78" s="101"/>
      <c r="D78" s="103"/>
      <c r="E78" s="103"/>
      <c r="F78" s="45" t="s">
        <v>131</v>
      </c>
      <c r="G78" s="47">
        <v>42.59259259259259</v>
      </c>
    </row>
    <row r="79" spans="1:7" ht="15" customHeight="1">
      <c r="A79" s="104" t="s">
        <v>119</v>
      </c>
      <c r="B79" s="104" t="s">
        <v>120</v>
      </c>
      <c r="C79" s="104" t="s">
        <v>65</v>
      </c>
      <c r="D79" s="104" t="s">
        <v>121</v>
      </c>
      <c r="E79" s="104" t="s">
        <v>122</v>
      </c>
      <c r="F79" s="45" t="s">
        <v>123</v>
      </c>
      <c r="G79" s="46">
        <v>85</v>
      </c>
    </row>
    <row r="80" spans="1:7" ht="15">
      <c r="A80" s="105"/>
      <c r="B80" s="105"/>
      <c r="C80" s="105"/>
      <c r="D80" s="105"/>
      <c r="E80" s="105"/>
      <c r="F80" s="45" t="s">
        <v>124</v>
      </c>
      <c r="G80" s="46">
        <v>85</v>
      </c>
    </row>
    <row r="81" spans="1:7" ht="15" customHeight="1">
      <c r="A81" s="100" t="s">
        <v>1411</v>
      </c>
      <c r="B81" s="100" t="s">
        <v>1698</v>
      </c>
      <c r="C81" s="100" t="s">
        <v>1413</v>
      </c>
      <c r="D81" s="102" t="s">
        <v>5</v>
      </c>
      <c r="E81" s="102" t="s">
        <v>167</v>
      </c>
      <c r="F81" s="45" t="s">
        <v>130</v>
      </c>
      <c r="G81" s="47" t="s">
        <v>668</v>
      </c>
    </row>
    <row r="82" spans="1:7" ht="27">
      <c r="A82" s="101"/>
      <c r="B82" s="101"/>
      <c r="C82" s="101"/>
      <c r="D82" s="103"/>
      <c r="E82" s="103"/>
      <c r="F82" s="45" t="s">
        <v>131</v>
      </c>
      <c r="G82" s="47" t="s">
        <v>668</v>
      </c>
    </row>
    <row r="83" spans="1:7" ht="15" customHeight="1">
      <c r="A83" s="104" t="s">
        <v>119</v>
      </c>
      <c r="B83" s="104" t="s">
        <v>120</v>
      </c>
      <c r="C83" s="104" t="s">
        <v>65</v>
      </c>
      <c r="D83" s="104" t="s">
        <v>121</v>
      </c>
      <c r="E83" s="104" t="s">
        <v>122</v>
      </c>
      <c r="F83" s="45" t="s">
        <v>123</v>
      </c>
      <c r="G83" s="46">
        <v>90</v>
      </c>
    </row>
    <row r="84" spans="1:7" ht="15">
      <c r="A84" s="105"/>
      <c r="B84" s="105"/>
      <c r="C84" s="105"/>
      <c r="D84" s="105"/>
      <c r="E84" s="105"/>
      <c r="F84" s="45" t="s">
        <v>124</v>
      </c>
      <c r="G84" s="46">
        <v>90</v>
      </c>
    </row>
    <row r="85" spans="1:7" ht="84" customHeight="1">
      <c r="A85" s="100" t="s">
        <v>1699</v>
      </c>
      <c r="B85" s="100" t="s">
        <v>1700</v>
      </c>
      <c r="C85" s="100" t="s">
        <v>1701</v>
      </c>
      <c r="D85" s="102" t="s">
        <v>5</v>
      </c>
      <c r="E85" s="102" t="s">
        <v>142</v>
      </c>
      <c r="F85" s="45" t="s">
        <v>130</v>
      </c>
      <c r="G85" s="47">
        <f>+(7/7)*100</f>
        <v>100</v>
      </c>
    </row>
    <row r="86" spans="1:7" ht="84" customHeight="1">
      <c r="A86" s="101"/>
      <c r="B86" s="101"/>
      <c r="C86" s="101"/>
      <c r="D86" s="103"/>
      <c r="E86" s="103"/>
      <c r="F86" s="45" t="s">
        <v>131</v>
      </c>
      <c r="G86" s="47">
        <v>111.11111111111111</v>
      </c>
    </row>
    <row r="87" spans="1:7" ht="15" customHeight="1">
      <c r="A87" s="104" t="s">
        <v>119</v>
      </c>
      <c r="B87" s="104" t="s">
        <v>120</v>
      </c>
      <c r="C87" s="104" t="s">
        <v>65</v>
      </c>
      <c r="D87" s="104" t="s">
        <v>121</v>
      </c>
      <c r="E87" s="104" t="s">
        <v>122</v>
      </c>
      <c r="F87" s="45" t="s">
        <v>123</v>
      </c>
      <c r="G87" s="46">
        <v>85</v>
      </c>
    </row>
    <row r="88" spans="1:7" ht="15">
      <c r="A88" s="105"/>
      <c r="B88" s="105"/>
      <c r="C88" s="105"/>
      <c r="D88" s="105"/>
      <c r="E88" s="105"/>
      <c r="F88" s="45" t="s">
        <v>124</v>
      </c>
      <c r="G88" s="46">
        <v>85</v>
      </c>
    </row>
    <row r="89" spans="1:7" ht="34.5" customHeight="1">
      <c r="A89" s="100" t="s">
        <v>1702</v>
      </c>
      <c r="B89" s="100" t="s">
        <v>1703</v>
      </c>
      <c r="C89" s="100" t="s">
        <v>1704</v>
      </c>
      <c r="D89" s="102" t="s">
        <v>5</v>
      </c>
      <c r="E89" s="102" t="s">
        <v>142</v>
      </c>
      <c r="F89" s="45" t="s">
        <v>130</v>
      </c>
      <c r="G89" s="47" t="s">
        <v>668</v>
      </c>
    </row>
    <row r="90" spans="1:7" ht="34.5" customHeight="1">
      <c r="A90" s="101"/>
      <c r="B90" s="101"/>
      <c r="C90" s="101"/>
      <c r="D90" s="103"/>
      <c r="E90" s="103"/>
      <c r="F90" s="45" t="s">
        <v>131</v>
      </c>
      <c r="G90" s="47" t="s">
        <v>668</v>
      </c>
    </row>
    <row r="91" spans="1:7" ht="15" customHeight="1">
      <c r="A91" s="104" t="s">
        <v>119</v>
      </c>
      <c r="B91" s="104" t="s">
        <v>120</v>
      </c>
      <c r="C91" s="104" t="s">
        <v>65</v>
      </c>
      <c r="D91" s="104" t="s">
        <v>121</v>
      </c>
      <c r="E91" s="104" t="s">
        <v>122</v>
      </c>
      <c r="F91" s="45" t="s">
        <v>123</v>
      </c>
      <c r="G91" s="46">
        <v>100</v>
      </c>
    </row>
    <row r="92" spans="1:7" ht="15">
      <c r="A92" s="105"/>
      <c r="B92" s="105"/>
      <c r="C92" s="105"/>
      <c r="D92" s="105"/>
      <c r="E92" s="105"/>
      <c r="F92" s="45" t="s">
        <v>124</v>
      </c>
      <c r="G92" s="46">
        <v>100</v>
      </c>
    </row>
    <row r="93" spans="1:7" ht="44.25" customHeight="1">
      <c r="A93" s="100" t="s">
        <v>1705</v>
      </c>
      <c r="B93" s="100" t="s">
        <v>1706</v>
      </c>
      <c r="C93" s="100" t="s">
        <v>1707</v>
      </c>
      <c r="D93" s="102" t="s">
        <v>5</v>
      </c>
      <c r="E93" s="102" t="s">
        <v>167</v>
      </c>
      <c r="F93" s="45" t="s">
        <v>130</v>
      </c>
      <c r="G93" s="47">
        <f>(531/531)*100</f>
        <v>100</v>
      </c>
    </row>
    <row r="94" spans="1:7" ht="44.25" customHeight="1">
      <c r="A94" s="101"/>
      <c r="B94" s="101"/>
      <c r="C94" s="101"/>
      <c r="D94" s="103"/>
      <c r="E94" s="103"/>
      <c r="F94" s="45" t="s">
        <v>131</v>
      </c>
      <c r="G94" s="47">
        <v>100</v>
      </c>
    </row>
    <row r="95" spans="1:7" ht="15" customHeight="1">
      <c r="A95" s="104" t="s">
        <v>119</v>
      </c>
      <c r="B95" s="104" t="s">
        <v>120</v>
      </c>
      <c r="C95" s="104" t="s">
        <v>65</v>
      </c>
      <c r="D95" s="104" t="s">
        <v>121</v>
      </c>
      <c r="E95" s="104" t="s">
        <v>122</v>
      </c>
      <c r="F95" s="45" t="s">
        <v>123</v>
      </c>
      <c r="G95" s="46">
        <v>100</v>
      </c>
    </row>
    <row r="96" spans="1:7" ht="15">
      <c r="A96" s="105"/>
      <c r="B96" s="105"/>
      <c r="C96" s="105"/>
      <c r="D96" s="105"/>
      <c r="E96" s="105"/>
      <c r="F96" s="45" t="s">
        <v>124</v>
      </c>
      <c r="G96" s="46">
        <v>100</v>
      </c>
    </row>
    <row r="97" spans="1:7" ht="33.75" customHeight="1">
      <c r="A97" s="100" t="s">
        <v>1708</v>
      </c>
      <c r="B97" s="100" t="s">
        <v>1709</v>
      </c>
      <c r="C97" s="100" t="s">
        <v>1710</v>
      </c>
      <c r="D97" s="102" t="s">
        <v>5</v>
      </c>
      <c r="E97" s="102" t="s">
        <v>788</v>
      </c>
      <c r="F97" s="45" t="s">
        <v>130</v>
      </c>
      <c r="G97" s="47">
        <f>(461/461)*100</f>
        <v>100</v>
      </c>
    </row>
    <row r="98" spans="1:7" ht="33.75" customHeight="1">
      <c r="A98" s="101"/>
      <c r="B98" s="101"/>
      <c r="C98" s="101"/>
      <c r="D98" s="103"/>
      <c r="E98" s="103"/>
      <c r="F98" s="45" t="s">
        <v>131</v>
      </c>
      <c r="G98" s="47">
        <f>(461/461)*100</f>
        <v>100</v>
      </c>
    </row>
    <row r="99" spans="1:7" ht="15" customHeight="1">
      <c r="A99" s="104" t="s">
        <v>119</v>
      </c>
      <c r="B99" s="104" t="s">
        <v>120</v>
      </c>
      <c r="C99" s="104" t="s">
        <v>65</v>
      </c>
      <c r="D99" s="104" t="s">
        <v>121</v>
      </c>
      <c r="E99" s="104" t="s">
        <v>122</v>
      </c>
      <c r="F99" s="45" t="s">
        <v>123</v>
      </c>
      <c r="G99" s="46">
        <v>100</v>
      </c>
    </row>
    <row r="100" spans="1:7" ht="15">
      <c r="A100" s="105"/>
      <c r="B100" s="105"/>
      <c r="C100" s="105"/>
      <c r="D100" s="105"/>
      <c r="E100" s="105"/>
      <c r="F100" s="45" t="s">
        <v>124</v>
      </c>
      <c r="G100" s="46">
        <v>100</v>
      </c>
    </row>
    <row r="101" spans="1:7" ht="15" customHeight="1">
      <c r="A101" s="100" t="s">
        <v>1711</v>
      </c>
      <c r="B101" s="100" t="s">
        <v>1712</v>
      </c>
      <c r="C101" s="100" t="s">
        <v>1713</v>
      </c>
      <c r="D101" s="102" t="s">
        <v>5</v>
      </c>
      <c r="E101" s="102" t="s">
        <v>788</v>
      </c>
      <c r="F101" s="45" t="s">
        <v>130</v>
      </c>
      <c r="G101" s="47">
        <f>(38/38)*100</f>
        <v>100</v>
      </c>
    </row>
    <row r="102" spans="1:7" ht="27">
      <c r="A102" s="101"/>
      <c r="B102" s="101"/>
      <c r="C102" s="101"/>
      <c r="D102" s="103"/>
      <c r="E102" s="103"/>
      <c r="F102" s="45" t="s">
        <v>131</v>
      </c>
      <c r="G102" s="47">
        <v>100</v>
      </c>
    </row>
    <row r="103" spans="1:7" ht="15" customHeight="1">
      <c r="A103" s="104" t="s">
        <v>119</v>
      </c>
      <c r="B103" s="104" t="s">
        <v>120</v>
      </c>
      <c r="C103" s="104" t="s">
        <v>65</v>
      </c>
      <c r="D103" s="104" t="s">
        <v>121</v>
      </c>
      <c r="E103" s="104" t="s">
        <v>122</v>
      </c>
      <c r="F103" s="45" t="s">
        <v>123</v>
      </c>
      <c r="G103" s="46">
        <v>100</v>
      </c>
    </row>
    <row r="104" spans="1:7" ht="15">
      <c r="A104" s="105"/>
      <c r="B104" s="105"/>
      <c r="C104" s="105"/>
      <c r="D104" s="105"/>
      <c r="E104" s="105"/>
      <c r="F104" s="45" t="s">
        <v>124</v>
      </c>
      <c r="G104" s="46">
        <v>100</v>
      </c>
    </row>
    <row r="105" spans="1:7" ht="42" customHeight="1">
      <c r="A105" s="100" t="s">
        <v>1714</v>
      </c>
      <c r="B105" s="100" t="s">
        <v>1418</v>
      </c>
      <c r="C105" s="100" t="s">
        <v>1488</v>
      </c>
      <c r="D105" s="102" t="s">
        <v>5</v>
      </c>
      <c r="E105" s="102" t="s">
        <v>167</v>
      </c>
      <c r="F105" s="45" t="s">
        <v>130</v>
      </c>
      <c r="G105" s="47">
        <f>100/100*100</f>
        <v>100</v>
      </c>
    </row>
    <row r="106" spans="1:7" ht="42" customHeight="1">
      <c r="A106" s="101"/>
      <c r="B106" s="101"/>
      <c r="C106" s="101"/>
      <c r="D106" s="103"/>
      <c r="E106" s="103"/>
      <c r="F106" s="45" t="s">
        <v>131</v>
      </c>
      <c r="G106" s="47">
        <v>100</v>
      </c>
    </row>
    <row r="107" spans="1:7" ht="15">
      <c r="A107" s="172" t="s">
        <v>192</v>
      </c>
      <c r="B107" s="173"/>
      <c r="C107" s="173"/>
      <c r="D107" s="173"/>
      <c r="E107" s="173"/>
      <c r="F107" s="173"/>
      <c r="G107" s="174"/>
    </row>
    <row r="108" spans="1:7" ht="15">
      <c r="A108" s="150" t="s">
        <v>1374</v>
      </c>
      <c r="B108" s="151"/>
      <c r="C108" s="151"/>
      <c r="D108" s="151"/>
      <c r="E108" s="151"/>
      <c r="F108" s="151"/>
      <c r="G108" s="152"/>
    </row>
    <row r="109" spans="1:7" ht="31.5" customHeight="1">
      <c r="A109" s="48" t="s">
        <v>193</v>
      </c>
      <c r="B109" s="156" t="s">
        <v>1367</v>
      </c>
      <c r="C109" s="157"/>
      <c r="D109" s="157"/>
      <c r="E109" s="157"/>
      <c r="F109" s="157"/>
      <c r="G109" s="158"/>
    </row>
    <row r="110" spans="1:7" ht="31.5" customHeight="1">
      <c r="A110" s="49" t="s">
        <v>6</v>
      </c>
      <c r="B110" s="98" t="s">
        <v>1334</v>
      </c>
      <c r="C110" s="98"/>
      <c r="D110" s="98"/>
      <c r="E110" s="98"/>
      <c r="F110" s="98"/>
      <c r="G110" s="98"/>
    </row>
    <row r="111" spans="1:7" ht="15">
      <c r="A111" s="49" t="s">
        <v>195</v>
      </c>
      <c r="B111" s="95"/>
      <c r="C111" s="95"/>
      <c r="D111" s="95"/>
      <c r="E111" s="95"/>
      <c r="F111" s="95"/>
      <c r="G111" s="95"/>
    </row>
    <row r="112" spans="1:7" ht="15">
      <c r="A112" s="147" t="s">
        <v>1516</v>
      </c>
      <c r="B112" s="148"/>
      <c r="C112" s="148"/>
      <c r="D112" s="148"/>
      <c r="E112" s="148"/>
      <c r="F112" s="148"/>
      <c r="G112" s="149"/>
    </row>
    <row r="113" spans="1:7" ht="31.5" customHeight="1">
      <c r="A113" s="49" t="s">
        <v>193</v>
      </c>
      <c r="B113" s="153" t="s">
        <v>1715</v>
      </c>
      <c r="C113" s="154"/>
      <c r="D113" s="154"/>
      <c r="E113" s="154"/>
      <c r="F113" s="154"/>
      <c r="G113" s="155"/>
    </row>
    <row r="114" spans="1:7" ht="52.5" customHeight="1">
      <c r="A114" s="49" t="s">
        <v>6</v>
      </c>
      <c r="B114" s="94" t="s">
        <v>1716</v>
      </c>
      <c r="C114" s="94"/>
      <c r="D114" s="94"/>
      <c r="E114" s="94"/>
      <c r="F114" s="94"/>
      <c r="G114" s="94"/>
    </row>
    <row r="115" spans="1:7" ht="15">
      <c r="A115" s="49" t="s">
        <v>195</v>
      </c>
      <c r="B115" s="95" t="s">
        <v>259</v>
      </c>
      <c r="C115" s="95"/>
      <c r="D115" s="95"/>
      <c r="E115" s="95"/>
      <c r="F115" s="95"/>
      <c r="G115" s="95"/>
    </row>
    <row r="116" spans="1:7" ht="15">
      <c r="A116" s="147" t="s">
        <v>1674</v>
      </c>
      <c r="B116" s="148"/>
      <c r="C116" s="148"/>
      <c r="D116" s="148"/>
      <c r="E116" s="148"/>
      <c r="F116" s="148"/>
      <c r="G116" s="149"/>
    </row>
    <row r="117" spans="1:7" ht="201.75" customHeight="1">
      <c r="A117" s="49" t="s">
        <v>193</v>
      </c>
      <c r="B117" s="153" t="s">
        <v>1717</v>
      </c>
      <c r="C117" s="154"/>
      <c r="D117" s="154"/>
      <c r="E117" s="154"/>
      <c r="F117" s="154"/>
      <c r="G117" s="155"/>
    </row>
    <row r="118" spans="1:7" ht="31.5" customHeight="1">
      <c r="A118" s="49" t="s">
        <v>6</v>
      </c>
      <c r="B118" s="94" t="s">
        <v>1718</v>
      </c>
      <c r="C118" s="94"/>
      <c r="D118" s="94"/>
      <c r="E118" s="94"/>
      <c r="F118" s="94"/>
      <c r="G118" s="94"/>
    </row>
    <row r="119" spans="1:7" ht="15">
      <c r="A119" s="49" t="s">
        <v>195</v>
      </c>
      <c r="B119" s="95"/>
      <c r="C119" s="95"/>
      <c r="D119" s="95"/>
      <c r="E119" s="95"/>
      <c r="F119" s="95"/>
      <c r="G119" s="95"/>
    </row>
    <row r="120" spans="1:7" ht="15">
      <c r="A120" s="147" t="s">
        <v>1677</v>
      </c>
      <c r="B120" s="148"/>
      <c r="C120" s="148"/>
      <c r="D120" s="148"/>
      <c r="E120" s="148"/>
      <c r="F120" s="148"/>
      <c r="G120" s="149"/>
    </row>
    <row r="121" spans="1:7" ht="31.5" customHeight="1">
      <c r="A121" s="49" t="s">
        <v>193</v>
      </c>
      <c r="B121" s="153" t="s">
        <v>1719</v>
      </c>
      <c r="C121" s="154"/>
      <c r="D121" s="154"/>
      <c r="E121" s="154"/>
      <c r="F121" s="154"/>
      <c r="G121" s="155"/>
    </row>
    <row r="122" spans="1:7" ht="31.5" customHeight="1">
      <c r="A122" s="49" t="s">
        <v>6</v>
      </c>
      <c r="B122" s="94" t="s">
        <v>1720</v>
      </c>
      <c r="C122" s="94"/>
      <c r="D122" s="94"/>
      <c r="E122" s="94"/>
      <c r="F122" s="94"/>
      <c r="G122" s="94"/>
    </row>
    <row r="123" spans="1:7" ht="15">
      <c r="A123" s="49" t="s">
        <v>195</v>
      </c>
      <c r="B123" s="95"/>
      <c r="C123" s="95"/>
      <c r="D123" s="95"/>
      <c r="E123" s="95"/>
      <c r="F123" s="95"/>
      <c r="G123" s="95"/>
    </row>
    <row r="124" spans="1:7" ht="15">
      <c r="A124" s="147" t="s">
        <v>1680</v>
      </c>
      <c r="B124" s="148"/>
      <c r="C124" s="148"/>
      <c r="D124" s="148"/>
      <c r="E124" s="148"/>
      <c r="F124" s="148"/>
      <c r="G124" s="149"/>
    </row>
    <row r="125" spans="1:7" ht="31.5" customHeight="1">
      <c r="A125" s="49" t="s">
        <v>193</v>
      </c>
      <c r="B125" s="153" t="s">
        <v>1721</v>
      </c>
      <c r="C125" s="154"/>
      <c r="D125" s="154"/>
      <c r="E125" s="154"/>
      <c r="F125" s="154"/>
      <c r="G125" s="155"/>
    </row>
    <row r="126" spans="1:7" ht="31.5" customHeight="1">
      <c r="A126" s="49" t="s">
        <v>6</v>
      </c>
      <c r="B126" s="94" t="s">
        <v>1722</v>
      </c>
      <c r="C126" s="94"/>
      <c r="D126" s="94"/>
      <c r="E126" s="94"/>
      <c r="F126" s="94"/>
      <c r="G126" s="94"/>
    </row>
    <row r="127" spans="1:7" ht="15">
      <c r="A127" s="49" t="s">
        <v>195</v>
      </c>
      <c r="B127" s="95" t="s">
        <v>259</v>
      </c>
      <c r="C127" s="95"/>
      <c r="D127" s="95"/>
      <c r="E127" s="95"/>
      <c r="F127" s="95"/>
      <c r="G127" s="95"/>
    </row>
    <row r="128" spans="1:7" ht="15">
      <c r="A128" s="147" t="s">
        <v>1683</v>
      </c>
      <c r="B128" s="148"/>
      <c r="C128" s="148"/>
      <c r="D128" s="148"/>
      <c r="E128" s="148"/>
      <c r="F128" s="148"/>
      <c r="G128" s="149"/>
    </row>
    <row r="129" spans="1:7" ht="78.75" customHeight="1">
      <c r="A129" s="49" t="s">
        <v>193</v>
      </c>
      <c r="B129" s="153" t="s">
        <v>1723</v>
      </c>
      <c r="C129" s="154"/>
      <c r="D129" s="154"/>
      <c r="E129" s="154"/>
      <c r="F129" s="154"/>
      <c r="G129" s="155"/>
    </row>
    <row r="130" spans="1:7" ht="31.5" customHeight="1">
      <c r="A130" s="49" t="s">
        <v>6</v>
      </c>
      <c r="B130" s="94" t="s">
        <v>1724</v>
      </c>
      <c r="C130" s="94"/>
      <c r="D130" s="94"/>
      <c r="E130" s="94"/>
      <c r="F130" s="94"/>
      <c r="G130" s="94"/>
    </row>
    <row r="131" spans="1:7" ht="15">
      <c r="A131" s="49" t="s">
        <v>195</v>
      </c>
      <c r="B131" s="95" t="s">
        <v>259</v>
      </c>
      <c r="C131" s="95"/>
      <c r="D131" s="95"/>
      <c r="E131" s="95"/>
      <c r="F131" s="95"/>
      <c r="G131" s="95"/>
    </row>
    <row r="132" spans="1:7" ht="15">
      <c r="A132" s="147" t="s">
        <v>1402</v>
      </c>
      <c r="B132" s="148"/>
      <c r="C132" s="148"/>
      <c r="D132" s="148"/>
      <c r="E132" s="148"/>
      <c r="F132" s="148"/>
      <c r="G132" s="149"/>
    </row>
    <row r="133" spans="1:7" ht="81" customHeight="1">
      <c r="A133" s="49" t="s">
        <v>193</v>
      </c>
      <c r="B133" s="153" t="s">
        <v>1725</v>
      </c>
      <c r="C133" s="154"/>
      <c r="D133" s="154"/>
      <c r="E133" s="154"/>
      <c r="F133" s="154"/>
      <c r="G133" s="155"/>
    </row>
    <row r="134" spans="1:7" ht="31.5" customHeight="1">
      <c r="A134" s="49" t="s">
        <v>6</v>
      </c>
      <c r="B134" s="94" t="s">
        <v>1726</v>
      </c>
      <c r="C134" s="94"/>
      <c r="D134" s="94"/>
      <c r="E134" s="94"/>
      <c r="F134" s="94"/>
      <c r="G134" s="94"/>
    </row>
    <row r="135" spans="1:7" ht="15">
      <c r="A135" s="49" t="s">
        <v>195</v>
      </c>
      <c r="B135" s="95" t="s">
        <v>259</v>
      </c>
      <c r="C135" s="95"/>
      <c r="D135" s="95"/>
      <c r="E135" s="95"/>
      <c r="F135" s="95"/>
      <c r="G135" s="95"/>
    </row>
    <row r="136" spans="1:7" ht="15">
      <c r="A136" s="147" t="s">
        <v>1688</v>
      </c>
      <c r="B136" s="148"/>
      <c r="C136" s="148"/>
      <c r="D136" s="148"/>
      <c r="E136" s="148"/>
      <c r="F136" s="148"/>
      <c r="G136" s="149"/>
    </row>
    <row r="137" spans="1:7" ht="81" customHeight="1">
      <c r="A137" s="49" t="s">
        <v>193</v>
      </c>
      <c r="B137" s="153" t="s">
        <v>1727</v>
      </c>
      <c r="C137" s="154"/>
      <c r="D137" s="154"/>
      <c r="E137" s="154"/>
      <c r="F137" s="154"/>
      <c r="G137" s="155"/>
    </row>
    <row r="138" spans="1:7" ht="31.5" customHeight="1">
      <c r="A138" s="49" t="s">
        <v>6</v>
      </c>
      <c r="B138" s="94" t="s">
        <v>1728</v>
      </c>
      <c r="C138" s="94"/>
      <c r="D138" s="94"/>
      <c r="E138" s="94"/>
      <c r="F138" s="94"/>
      <c r="G138" s="94"/>
    </row>
    <row r="139" spans="1:7" ht="15">
      <c r="A139" s="49" t="s">
        <v>195</v>
      </c>
      <c r="B139" s="95" t="s">
        <v>259</v>
      </c>
      <c r="C139" s="95"/>
      <c r="D139" s="95"/>
      <c r="E139" s="95"/>
      <c r="F139" s="95"/>
      <c r="G139" s="95"/>
    </row>
    <row r="140" spans="1:7" ht="15">
      <c r="A140" s="147" t="s">
        <v>1690</v>
      </c>
      <c r="B140" s="148"/>
      <c r="C140" s="148"/>
      <c r="D140" s="148"/>
      <c r="E140" s="148"/>
      <c r="F140" s="148"/>
      <c r="G140" s="149"/>
    </row>
    <row r="141" spans="1:7" ht="76.5" customHeight="1">
      <c r="A141" s="49" t="s">
        <v>193</v>
      </c>
      <c r="B141" s="153" t="s">
        <v>1729</v>
      </c>
      <c r="C141" s="154"/>
      <c r="D141" s="154"/>
      <c r="E141" s="154"/>
      <c r="F141" s="154"/>
      <c r="G141" s="155"/>
    </row>
    <row r="142" spans="1:7" ht="31.5" customHeight="1">
      <c r="A142" s="49" t="s">
        <v>6</v>
      </c>
      <c r="B142" s="94" t="s">
        <v>1730</v>
      </c>
      <c r="C142" s="94"/>
      <c r="D142" s="94"/>
      <c r="E142" s="94"/>
      <c r="F142" s="94"/>
      <c r="G142" s="94"/>
    </row>
    <row r="143" spans="1:7" ht="15">
      <c r="A143" s="49" t="s">
        <v>195</v>
      </c>
      <c r="B143" s="95" t="s">
        <v>259</v>
      </c>
      <c r="C143" s="95"/>
      <c r="D143" s="95"/>
      <c r="E143" s="95"/>
      <c r="F143" s="95"/>
      <c r="G143" s="95"/>
    </row>
    <row r="144" spans="1:7" ht="15">
      <c r="A144" s="175" t="s">
        <v>1693</v>
      </c>
      <c r="B144" s="176"/>
      <c r="C144" s="176"/>
      <c r="D144" s="176"/>
      <c r="E144" s="176"/>
      <c r="F144" s="176"/>
      <c r="G144" s="177"/>
    </row>
    <row r="145" spans="1:7" ht="84" customHeight="1">
      <c r="A145" s="49" t="s">
        <v>193</v>
      </c>
      <c r="B145" s="153" t="s">
        <v>1731</v>
      </c>
      <c r="C145" s="154"/>
      <c r="D145" s="154"/>
      <c r="E145" s="154"/>
      <c r="F145" s="154"/>
      <c r="G145" s="155"/>
    </row>
    <row r="146" spans="1:7" ht="31.5" customHeight="1">
      <c r="A146" s="49" t="s">
        <v>6</v>
      </c>
      <c r="B146" s="94" t="s">
        <v>1732</v>
      </c>
      <c r="C146" s="94"/>
      <c r="D146" s="94"/>
      <c r="E146" s="94"/>
      <c r="F146" s="94"/>
      <c r="G146" s="94"/>
    </row>
    <row r="147" spans="1:7" ht="15">
      <c r="A147" s="49" t="s">
        <v>195</v>
      </c>
      <c r="B147" s="95" t="s">
        <v>259</v>
      </c>
      <c r="C147" s="95"/>
      <c r="D147" s="95"/>
      <c r="E147" s="95"/>
      <c r="F147" s="95"/>
      <c r="G147" s="95"/>
    </row>
    <row r="148" spans="1:7" ht="15">
      <c r="A148" s="147" t="s">
        <v>1695</v>
      </c>
      <c r="B148" s="148"/>
      <c r="C148" s="148"/>
      <c r="D148" s="148"/>
      <c r="E148" s="148"/>
      <c r="F148" s="148"/>
      <c r="G148" s="149"/>
    </row>
    <row r="149" spans="1:7" ht="67.5" customHeight="1">
      <c r="A149" s="49" t="s">
        <v>193</v>
      </c>
      <c r="B149" s="153" t="s">
        <v>1733</v>
      </c>
      <c r="C149" s="154"/>
      <c r="D149" s="154"/>
      <c r="E149" s="154"/>
      <c r="F149" s="154"/>
      <c r="G149" s="155"/>
    </row>
    <row r="150" spans="1:7" ht="41.25" customHeight="1">
      <c r="A150" s="49" t="s">
        <v>6</v>
      </c>
      <c r="B150" s="94" t="s">
        <v>1734</v>
      </c>
      <c r="C150" s="94"/>
      <c r="D150" s="94"/>
      <c r="E150" s="94"/>
      <c r="F150" s="94"/>
      <c r="G150" s="94"/>
    </row>
    <row r="151" spans="1:7" ht="15">
      <c r="A151" s="49" t="s">
        <v>195</v>
      </c>
      <c r="B151" s="95" t="s">
        <v>259</v>
      </c>
      <c r="C151" s="95"/>
      <c r="D151" s="95"/>
      <c r="E151" s="95"/>
      <c r="F151" s="95"/>
      <c r="G151" s="95"/>
    </row>
    <row r="152" spans="1:7" ht="15">
      <c r="A152" s="147" t="s">
        <v>1411</v>
      </c>
      <c r="B152" s="148"/>
      <c r="C152" s="148"/>
      <c r="D152" s="148"/>
      <c r="E152" s="148"/>
      <c r="F152" s="148"/>
      <c r="G152" s="149"/>
    </row>
    <row r="153" spans="1:7" ht="31.5" customHeight="1">
      <c r="A153" s="49" t="s">
        <v>193</v>
      </c>
      <c r="B153" s="153" t="s">
        <v>1735</v>
      </c>
      <c r="C153" s="154"/>
      <c r="D153" s="154"/>
      <c r="E153" s="154"/>
      <c r="F153" s="154"/>
      <c r="G153" s="155"/>
    </row>
    <row r="154" spans="1:7" ht="15">
      <c r="A154" s="49" t="s">
        <v>6</v>
      </c>
      <c r="B154" s="94" t="s">
        <v>1736</v>
      </c>
      <c r="C154" s="94"/>
      <c r="D154" s="94"/>
      <c r="E154" s="94"/>
      <c r="F154" s="94"/>
      <c r="G154" s="94"/>
    </row>
    <row r="155" spans="1:7" ht="15">
      <c r="A155" s="49" t="s">
        <v>195</v>
      </c>
      <c r="B155" s="95" t="s">
        <v>259</v>
      </c>
      <c r="C155" s="95"/>
      <c r="D155" s="95"/>
      <c r="E155" s="95"/>
      <c r="F155" s="95"/>
      <c r="G155" s="95"/>
    </row>
    <row r="156" spans="1:7" ht="15">
      <c r="A156" s="147" t="s">
        <v>1699</v>
      </c>
      <c r="B156" s="148"/>
      <c r="C156" s="148"/>
      <c r="D156" s="148"/>
      <c r="E156" s="148"/>
      <c r="F156" s="148"/>
      <c r="G156" s="149"/>
    </row>
    <row r="157" spans="1:7" ht="31.5" customHeight="1">
      <c r="A157" s="49" t="s">
        <v>193</v>
      </c>
      <c r="B157" s="153" t="s">
        <v>1737</v>
      </c>
      <c r="C157" s="154"/>
      <c r="D157" s="154"/>
      <c r="E157" s="154"/>
      <c r="F157" s="154"/>
      <c r="G157" s="155"/>
    </row>
    <row r="158" spans="1:7" ht="31.5" customHeight="1">
      <c r="A158" s="49" t="s">
        <v>6</v>
      </c>
      <c r="B158" s="94" t="s">
        <v>1738</v>
      </c>
      <c r="C158" s="94"/>
      <c r="D158" s="94"/>
      <c r="E158" s="94"/>
      <c r="F158" s="94"/>
      <c r="G158" s="94"/>
    </row>
    <row r="159" spans="1:7" ht="15">
      <c r="A159" s="49" t="s">
        <v>195</v>
      </c>
      <c r="B159" s="95" t="s">
        <v>259</v>
      </c>
      <c r="C159" s="95"/>
      <c r="D159" s="95"/>
      <c r="E159" s="95"/>
      <c r="F159" s="95"/>
      <c r="G159" s="95"/>
    </row>
    <row r="160" spans="1:7" ht="15">
      <c r="A160" s="147" t="s">
        <v>1702</v>
      </c>
      <c r="B160" s="148"/>
      <c r="C160" s="148"/>
      <c r="D160" s="148"/>
      <c r="E160" s="148"/>
      <c r="F160" s="148"/>
      <c r="G160" s="149"/>
    </row>
    <row r="161" spans="1:7" ht="47.25" customHeight="1">
      <c r="A161" s="49" t="s">
        <v>193</v>
      </c>
      <c r="B161" s="153" t="s">
        <v>1739</v>
      </c>
      <c r="C161" s="154"/>
      <c r="D161" s="154"/>
      <c r="E161" s="154"/>
      <c r="F161" s="154"/>
      <c r="G161" s="155"/>
    </row>
    <row r="162" spans="1:7" ht="69.75" customHeight="1">
      <c r="A162" s="49" t="s">
        <v>6</v>
      </c>
      <c r="B162" s="94" t="s">
        <v>1740</v>
      </c>
      <c r="C162" s="94"/>
      <c r="D162" s="94"/>
      <c r="E162" s="94"/>
      <c r="F162" s="94"/>
      <c r="G162" s="94"/>
    </row>
    <row r="163" spans="1:7" ht="15">
      <c r="A163" s="49" t="s">
        <v>195</v>
      </c>
      <c r="B163" s="95" t="s">
        <v>259</v>
      </c>
      <c r="C163" s="95"/>
      <c r="D163" s="95"/>
      <c r="E163" s="95"/>
      <c r="F163" s="95"/>
      <c r="G163" s="95"/>
    </row>
    <row r="164" spans="1:7" ht="15">
      <c r="A164" s="147" t="s">
        <v>1705</v>
      </c>
      <c r="B164" s="148"/>
      <c r="C164" s="148"/>
      <c r="D164" s="148"/>
      <c r="E164" s="148"/>
      <c r="F164" s="148"/>
      <c r="G164" s="149"/>
    </row>
    <row r="165" spans="1:7" ht="31.5" customHeight="1">
      <c r="A165" s="49" t="s">
        <v>193</v>
      </c>
      <c r="B165" s="153" t="s">
        <v>1741</v>
      </c>
      <c r="C165" s="154"/>
      <c r="D165" s="154"/>
      <c r="E165" s="154"/>
      <c r="F165" s="154"/>
      <c r="G165" s="155"/>
    </row>
    <row r="166" spans="1:7" ht="31.5" customHeight="1">
      <c r="A166" s="49" t="s">
        <v>6</v>
      </c>
      <c r="B166" s="94" t="s">
        <v>1742</v>
      </c>
      <c r="C166" s="94"/>
      <c r="D166" s="94"/>
      <c r="E166" s="94"/>
      <c r="F166" s="94"/>
      <c r="G166" s="94"/>
    </row>
    <row r="167" spans="1:7" ht="15">
      <c r="A167" s="49" t="s">
        <v>195</v>
      </c>
      <c r="B167" s="95" t="s">
        <v>259</v>
      </c>
      <c r="C167" s="95"/>
      <c r="D167" s="95"/>
      <c r="E167" s="95"/>
      <c r="F167" s="95"/>
      <c r="G167" s="95"/>
    </row>
    <row r="168" spans="1:7" ht="15">
      <c r="A168" s="147" t="s">
        <v>1708</v>
      </c>
      <c r="B168" s="148"/>
      <c r="C168" s="148"/>
      <c r="D168" s="148"/>
      <c r="E168" s="148"/>
      <c r="F168" s="148"/>
      <c r="G168" s="149"/>
    </row>
    <row r="169" spans="1:7" ht="31.5" customHeight="1">
      <c r="A169" s="49" t="s">
        <v>193</v>
      </c>
      <c r="B169" s="153" t="s">
        <v>1743</v>
      </c>
      <c r="C169" s="154"/>
      <c r="D169" s="154"/>
      <c r="E169" s="154"/>
      <c r="F169" s="154"/>
      <c r="G169" s="155"/>
    </row>
    <row r="170" spans="1:7" ht="31.5" customHeight="1">
      <c r="A170" s="49" t="s">
        <v>6</v>
      </c>
      <c r="B170" s="94" t="s">
        <v>1744</v>
      </c>
      <c r="C170" s="94"/>
      <c r="D170" s="94"/>
      <c r="E170" s="94"/>
      <c r="F170" s="94"/>
      <c r="G170" s="94"/>
    </row>
    <row r="171" spans="1:7" ht="15">
      <c r="A171" s="49" t="s">
        <v>195</v>
      </c>
      <c r="B171" s="95" t="s">
        <v>259</v>
      </c>
      <c r="C171" s="95"/>
      <c r="D171" s="95"/>
      <c r="E171" s="95"/>
      <c r="F171" s="95"/>
      <c r="G171" s="95"/>
    </row>
    <row r="172" spans="1:7" ht="15">
      <c r="A172" s="147" t="s">
        <v>1711</v>
      </c>
      <c r="B172" s="148"/>
      <c r="C172" s="148"/>
      <c r="D172" s="148"/>
      <c r="E172" s="148"/>
      <c r="F172" s="148"/>
      <c r="G172" s="149"/>
    </row>
    <row r="173" spans="1:7" ht="45.75" customHeight="1">
      <c r="A173" s="49" t="s">
        <v>193</v>
      </c>
      <c r="B173" s="153" t="s">
        <v>1745</v>
      </c>
      <c r="C173" s="154"/>
      <c r="D173" s="154"/>
      <c r="E173" s="154"/>
      <c r="F173" s="154"/>
      <c r="G173" s="155"/>
    </row>
    <row r="174" spans="1:7" ht="15">
      <c r="A174" s="49" t="s">
        <v>6</v>
      </c>
      <c r="B174" s="94" t="s">
        <v>1746</v>
      </c>
      <c r="C174" s="94"/>
      <c r="D174" s="94"/>
      <c r="E174" s="94"/>
      <c r="F174" s="94"/>
      <c r="G174" s="94"/>
    </row>
    <row r="175" spans="1:7" ht="15">
      <c r="A175" s="49" t="s">
        <v>195</v>
      </c>
      <c r="B175" s="95" t="s">
        <v>259</v>
      </c>
      <c r="C175" s="95"/>
      <c r="D175" s="95"/>
      <c r="E175" s="95"/>
      <c r="F175" s="95"/>
      <c r="G175" s="95"/>
    </row>
    <row r="176" spans="1:7" ht="15">
      <c r="A176" s="147" t="s">
        <v>1714</v>
      </c>
      <c r="B176" s="148"/>
      <c r="C176" s="148"/>
      <c r="D176" s="148"/>
      <c r="E176" s="148"/>
      <c r="F176" s="148"/>
      <c r="G176" s="149"/>
    </row>
    <row r="177" spans="1:7" ht="31.5" customHeight="1">
      <c r="A177" s="49" t="s">
        <v>193</v>
      </c>
      <c r="B177" s="153" t="s">
        <v>1747</v>
      </c>
      <c r="C177" s="154"/>
      <c r="D177" s="154"/>
      <c r="E177" s="154"/>
      <c r="F177" s="154"/>
      <c r="G177" s="155"/>
    </row>
    <row r="178" spans="1:7" ht="15">
      <c r="A178" s="49" t="s">
        <v>6</v>
      </c>
      <c r="B178" s="94" t="s">
        <v>1748</v>
      </c>
      <c r="C178" s="94"/>
      <c r="D178" s="94"/>
      <c r="E178" s="94"/>
      <c r="F178" s="94"/>
      <c r="G178" s="94"/>
    </row>
    <row r="179" spans="1:7" ht="15">
      <c r="A179" s="49" t="s">
        <v>195</v>
      </c>
      <c r="B179" s="95" t="s">
        <v>259</v>
      </c>
      <c r="C179" s="95"/>
      <c r="D179" s="95"/>
      <c r="E179" s="95"/>
      <c r="F179" s="95"/>
      <c r="G179" s="95"/>
    </row>
    <row r="180" spans="1:7" ht="15">
      <c r="A180" s="92"/>
      <c r="B180" s="92"/>
      <c r="C180" s="92"/>
      <c r="D180" s="92"/>
      <c r="E180" s="92"/>
      <c r="F180" s="92"/>
      <c r="G180" s="92"/>
    </row>
    <row r="181" spans="1:7" ht="15">
      <c r="A181" s="96" t="s">
        <v>226</v>
      </c>
      <c r="B181" s="96"/>
      <c r="C181" s="96"/>
      <c r="D181" s="96"/>
      <c r="E181" s="96"/>
      <c r="F181" s="96"/>
      <c r="G181" s="96"/>
    </row>
    <row r="182" spans="1:7" ht="15">
      <c r="A182" s="147" t="s">
        <v>1374</v>
      </c>
      <c r="B182" s="148"/>
      <c r="C182" s="148"/>
      <c r="D182" s="148"/>
      <c r="E182" s="148"/>
      <c r="F182" s="148"/>
      <c r="G182" s="149"/>
    </row>
    <row r="183" spans="1:7" ht="15">
      <c r="A183" s="49" t="s">
        <v>227</v>
      </c>
      <c r="B183" s="178"/>
      <c r="C183" s="179"/>
      <c r="D183" s="179"/>
      <c r="E183" s="179"/>
      <c r="F183" s="179"/>
      <c r="G183" s="180"/>
    </row>
    <row r="184" spans="1:7" ht="15">
      <c r="A184" s="147" t="s">
        <v>1516</v>
      </c>
      <c r="B184" s="148"/>
      <c r="C184" s="148"/>
      <c r="D184" s="148"/>
      <c r="E184" s="148"/>
      <c r="F184" s="148"/>
      <c r="G184" s="149"/>
    </row>
    <row r="185" spans="1:7" ht="15">
      <c r="A185" s="49" t="s">
        <v>227</v>
      </c>
      <c r="B185" s="178"/>
      <c r="C185" s="179"/>
      <c r="D185" s="179"/>
      <c r="E185" s="179"/>
      <c r="F185" s="179"/>
      <c r="G185" s="180"/>
    </row>
    <row r="186" spans="1:7" ht="15">
      <c r="A186" s="147" t="s">
        <v>1674</v>
      </c>
      <c r="B186" s="148"/>
      <c r="C186" s="148"/>
      <c r="D186" s="148"/>
      <c r="E186" s="148"/>
      <c r="F186" s="148"/>
      <c r="G186" s="149"/>
    </row>
    <row r="187" spans="1:7" ht="15">
      <c r="A187" s="49" t="s">
        <v>227</v>
      </c>
      <c r="B187" s="178"/>
      <c r="C187" s="179"/>
      <c r="D187" s="179"/>
      <c r="E187" s="179"/>
      <c r="F187" s="179"/>
      <c r="G187" s="180"/>
    </row>
    <row r="188" spans="1:7" ht="15">
      <c r="A188" s="147" t="s">
        <v>1677</v>
      </c>
      <c r="B188" s="148"/>
      <c r="C188" s="148"/>
      <c r="D188" s="148"/>
      <c r="E188" s="148"/>
      <c r="F188" s="148"/>
      <c r="G188" s="149"/>
    </row>
    <row r="189" spans="1:7" ht="15">
      <c r="A189" s="49" t="s">
        <v>227</v>
      </c>
      <c r="B189" s="178"/>
      <c r="C189" s="179"/>
      <c r="D189" s="179"/>
      <c r="E189" s="179"/>
      <c r="F189" s="179"/>
      <c r="G189" s="180"/>
    </row>
    <row r="190" spans="1:7" ht="15">
      <c r="A190" s="147" t="s">
        <v>1680</v>
      </c>
      <c r="B190" s="148"/>
      <c r="C190" s="148"/>
      <c r="D190" s="148"/>
      <c r="E190" s="148"/>
      <c r="F190" s="148"/>
      <c r="G190" s="149"/>
    </row>
    <row r="191" spans="1:7" ht="15">
      <c r="A191" s="49" t="s">
        <v>227</v>
      </c>
      <c r="B191" s="178"/>
      <c r="C191" s="179"/>
      <c r="D191" s="179"/>
      <c r="E191" s="179"/>
      <c r="F191" s="179"/>
      <c r="G191" s="180"/>
    </row>
    <row r="192" spans="1:7" ht="15">
      <c r="A192" s="147" t="s">
        <v>1683</v>
      </c>
      <c r="B192" s="148"/>
      <c r="C192" s="148"/>
      <c r="D192" s="148"/>
      <c r="E192" s="148"/>
      <c r="F192" s="148"/>
      <c r="G192" s="149"/>
    </row>
    <row r="193" spans="1:7" ht="15">
      <c r="A193" s="49" t="s">
        <v>227</v>
      </c>
      <c r="B193" s="178"/>
      <c r="C193" s="179"/>
      <c r="D193" s="179"/>
      <c r="E193" s="179"/>
      <c r="F193" s="179"/>
      <c r="G193" s="180"/>
    </row>
    <row r="194" spans="1:7" ht="15">
      <c r="A194" s="147" t="s">
        <v>1402</v>
      </c>
      <c r="B194" s="148"/>
      <c r="C194" s="148"/>
      <c r="D194" s="148"/>
      <c r="E194" s="148"/>
      <c r="F194" s="148"/>
      <c r="G194" s="149"/>
    </row>
    <row r="195" spans="1:7" ht="15">
      <c r="A195" s="49" t="s">
        <v>227</v>
      </c>
      <c r="B195" s="178"/>
      <c r="C195" s="179"/>
      <c r="D195" s="179"/>
      <c r="E195" s="179"/>
      <c r="F195" s="179"/>
      <c r="G195" s="180"/>
    </row>
    <row r="196" spans="1:7" ht="15">
      <c r="A196" s="147" t="s">
        <v>1688</v>
      </c>
      <c r="B196" s="148"/>
      <c r="C196" s="148"/>
      <c r="D196" s="148"/>
      <c r="E196" s="148"/>
      <c r="F196" s="148"/>
      <c r="G196" s="149"/>
    </row>
    <row r="197" spans="1:7" ht="15">
      <c r="A197" s="49" t="s">
        <v>227</v>
      </c>
      <c r="B197" s="178"/>
      <c r="C197" s="179"/>
      <c r="D197" s="179"/>
      <c r="E197" s="179"/>
      <c r="F197" s="179"/>
      <c r="G197" s="180"/>
    </row>
    <row r="198" spans="1:7" ht="15">
      <c r="A198" s="147" t="s">
        <v>1690</v>
      </c>
      <c r="B198" s="148"/>
      <c r="C198" s="148"/>
      <c r="D198" s="148"/>
      <c r="E198" s="148"/>
      <c r="F198" s="148"/>
      <c r="G198" s="149"/>
    </row>
    <row r="199" spans="1:7" ht="15">
      <c r="A199" s="49" t="s">
        <v>227</v>
      </c>
      <c r="B199" s="178"/>
      <c r="C199" s="179"/>
      <c r="D199" s="179"/>
      <c r="E199" s="179"/>
      <c r="F199" s="179"/>
      <c r="G199" s="180"/>
    </row>
    <row r="200" spans="1:7" ht="15">
      <c r="A200" s="147" t="s">
        <v>1693</v>
      </c>
      <c r="B200" s="148"/>
      <c r="C200" s="148"/>
      <c r="D200" s="148"/>
      <c r="E200" s="148"/>
      <c r="F200" s="148"/>
      <c r="G200" s="149"/>
    </row>
    <row r="201" spans="1:7" ht="15">
      <c r="A201" s="49" t="s">
        <v>227</v>
      </c>
      <c r="B201" s="178"/>
      <c r="C201" s="179"/>
      <c r="D201" s="179"/>
      <c r="E201" s="179"/>
      <c r="F201" s="179"/>
      <c r="G201" s="180"/>
    </row>
    <row r="202" spans="1:7" ht="15">
      <c r="A202" s="147" t="s">
        <v>1695</v>
      </c>
      <c r="B202" s="148"/>
      <c r="C202" s="148"/>
      <c r="D202" s="148"/>
      <c r="E202" s="148"/>
      <c r="F202" s="148"/>
      <c r="G202" s="149"/>
    </row>
    <row r="203" spans="1:7" ht="15">
      <c r="A203" s="49" t="s">
        <v>227</v>
      </c>
      <c r="B203" s="178"/>
      <c r="C203" s="179"/>
      <c r="D203" s="179"/>
      <c r="E203" s="179"/>
      <c r="F203" s="179"/>
      <c r="G203" s="180"/>
    </row>
    <row r="204" spans="1:7" ht="15">
      <c r="A204" s="147" t="s">
        <v>1411</v>
      </c>
      <c r="B204" s="148"/>
      <c r="C204" s="148"/>
      <c r="D204" s="148"/>
      <c r="E204" s="148"/>
      <c r="F204" s="148"/>
      <c r="G204" s="149"/>
    </row>
    <row r="205" spans="1:7" ht="15">
      <c r="A205" s="49" t="s">
        <v>227</v>
      </c>
      <c r="B205" s="178"/>
      <c r="C205" s="179"/>
      <c r="D205" s="179"/>
      <c r="E205" s="179"/>
      <c r="F205" s="179"/>
      <c r="G205" s="180"/>
    </row>
    <row r="206" spans="1:7" ht="15">
      <c r="A206" s="147" t="s">
        <v>1699</v>
      </c>
      <c r="B206" s="148"/>
      <c r="C206" s="148"/>
      <c r="D206" s="148"/>
      <c r="E206" s="148"/>
      <c r="F206" s="148"/>
      <c r="G206" s="149"/>
    </row>
    <row r="207" spans="1:7" ht="15">
      <c r="A207" s="49" t="s">
        <v>227</v>
      </c>
      <c r="B207" s="178"/>
      <c r="C207" s="179"/>
      <c r="D207" s="179"/>
      <c r="E207" s="179"/>
      <c r="F207" s="179"/>
      <c r="G207" s="180"/>
    </row>
    <row r="208" spans="1:7" ht="15">
      <c r="A208" s="147" t="s">
        <v>1702</v>
      </c>
      <c r="B208" s="148"/>
      <c r="C208" s="148"/>
      <c r="D208" s="148"/>
      <c r="E208" s="148"/>
      <c r="F208" s="148"/>
      <c r="G208" s="149"/>
    </row>
    <row r="209" spans="1:7" ht="15">
      <c r="A209" s="49" t="s">
        <v>227</v>
      </c>
      <c r="B209" s="178"/>
      <c r="C209" s="179"/>
      <c r="D209" s="179"/>
      <c r="E209" s="179"/>
      <c r="F209" s="179"/>
      <c r="G209" s="180"/>
    </row>
    <row r="210" spans="1:7" ht="15">
      <c r="A210" s="147" t="s">
        <v>1705</v>
      </c>
      <c r="B210" s="148"/>
      <c r="C210" s="148"/>
      <c r="D210" s="148"/>
      <c r="E210" s="148"/>
      <c r="F210" s="148"/>
      <c r="G210" s="149"/>
    </row>
    <row r="211" spans="1:7" ht="15">
      <c r="A211" s="49" t="s">
        <v>227</v>
      </c>
      <c r="B211" s="178"/>
      <c r="C211" s="179"/>
      <c r="D211" s="179"/>
      <c r="E211" s="179"/>
      <c r="F211" s="179"/>
      <c r="G211" s="180"/>
    </row>
    <row r="212" spans="1:7" ht="15">
      <c r="A212" s="147" t="s">
        <v>1708</v>
      </c>
      <c r="B212" s="148"/>
      <c r="C212" s="148"/>
      <c r="D212" s="148"/>
      <c r="E212" s="148"/>
      <c r="F212" s="148"/>
      <c r="G212" s="149"/>
    </row>
    <row r="213" spans="1:7" ht="15">
      <c r="A213" s="49" t="s">
        <v>227</v>
      </c>
      <c r="B213" s="178"/>
      <c r="C213" s="179"/>
      <c r="D213" s="179"/>
      <c r="E213" s="179"/>
      <c r="F213" s="179"/>
      <c r="G213" s="180"/>
    </row>
    <row r="214" spans="1:7" ht="15">
      <c r="A214" s="147" t="s">
        <v>1711</v>
      </c>
      <c r="B214" s="148"/>
      <c r="C214" s="148"/>
      <c r="D214" s="148"/>
      <c r="E214" s="148"/>
      <c r="F214" s="148"/>
      <c r="G214" s="149"/>
    </row>
    <row r="215" spans="1:7" ht="15">
      <c r="A215" s="49" t="s">
        <v>227</v>
      </c>
      <c r="B215" s="178"/>
      <c r="C215" s="179"/>
      <c r="D215" s="179"/>
      <c r="E215" s="179"/>
      <c r="F215" s="179"/>
      <c r="G215" s="180"/>
    </row>
    <row r="216" spans="1:7" ht="15">
      <c r="A216" s="147" t="s">
        <v>1714</v>
      </c>
      <c r="B216" s="148"/>
      <c r="C216" s="148"/>
      <c r="D216" s="148"/>
      <c r="E216" s="148"/>
      <c r="F216" s="148"/>
      <c r="G216" s="149"/>
    </row>
    <row r="217" spans="1:7" ht="15">
      <c r="A217" s="49" t="s">
        <v>227</v>
      </c>
      <c r="B217" s="178"/>
      <c r="C217" s="179"/>
      <c r="D217" s="179"/>
      <c r="E217" s="179"/>
      <c r="F217" s="179"/>
      <c r="G217" s="180"/>
    </row>
    <row r="218" spans="1:7" ht="15">
      <c r="A218" s="147"/>
      <c r="B218" s="148"/>
      <c r="C218" s="148"/>
      <c r="D218" s="148"/>
      <c r="E218" s="148"/>
      <c r="F218" s="148"/>
      <c r="G218" s="149"/>
    </row>
    <row r="219" spans="1:7" ht="31.5" customHeight="1">
      <c r="A219" s="93" t="s">
        <v>229</v>
      </c>
      <c r="B219" s="93"/>
      <c r="C219" s="93"/>
      <c r="D219" s="93"/>
      <c r="E219" s="93"/>
      <c r="F219" s="93"/>
      <c r="G219" s="93"/>
    </row>
  </sheetData>
  <sheetProtection/>
  <mergeCells count="338">
    <mergeCell ref="A216:G216"/>
    <mergeCell ref="B217:G217"/>
    <mergeCell ref="A218:G218"/>
    <mergeCell ref="A219:G219"/>
    <mergeCell ref="A210:G210"/>
    <mergeCell ref="B211:G211"/>
    <mergeCell ref="A212:G212"/>
    <mergeCell ref="B213:G213"/>
    <mergeCell ref="A214:G214"/>
    <mergeCell ref="B215:G215"/>
    <mergeCell ref="A204:G204"/>
    <mergeCell ref="B205:G205"/>
    <mergeCell ref="A206:G206"/>
    <mergeCell ref="B207:G207"/>
    <mergeCell ref="A208:G208"/>
    <mergeCell ref="B209:G209"/>
    <mergeCell ref="A198:G198"/>
    <mergeCell ref="B199:G199"/>
    <mergeCell ref="A200:G200"/>
    <mergeCell ref="B201:G201"/>
    <mergeCell ref="A202:G202"/>
    <mergeCell ref="B203:G203"/>
    <mergeCell ref="A192:G192"/>
    <mergeCell ref="B193:G193"/>
    <mergeCell ref="A194:G194"/>
    <mergeCell ref="B195:G195"/>
    <mergeCell ref="A196:G196"/>
    <mergeCell ref="B197:G197"/>
    <mergeCell ref="A186:G186"/>
    <mergeCell ref="B187:G187"/>
    <mergeCell ref="A188:G188"/>
    <mergeCell ref="B189:G189"/>
    <mergeCell ref="A190:G190"/>
    <mergeCell ref="B191:G191"/>
    <mergeCell ref="A180:G180"/>
    <mergeCell ref="A181:G181"/>
    <mergeCell ref="A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A152:G152"/>
    <mergeCell ref="B153:G153"/>
    <mergeCell ref="B154:G154"/>
    <mergeCell ref="B155:G155"/>
    <mergeCell ref="A144:G144"/>
    <mergeCell ref="B145:G145"/>
    <mergeCell ref="B146:G146"/>
    <mergeCell ref="B147:G147"/>
    <mergeCell ref="A148:G148"/>
    <mergeCell ref="B149:G149"/>
    <mergeCell ref="B138:G138"/>
    <mergeCell ref="B139:G139"/>
    <mergeCell ref="A140:G140"/>
    <mergeCell ref="B141:G141"/>
    <mergeCell ref="B142:G142"/>
    <mergeCell ref="B143:G143"/>
    <mergeCell ref="A132:G132"/>
    <mergeCell ref="B133:G133"/>
    <mergeCell ref="B134:G134"/>
    <mergeCell ref="B135:G135"/>
    <mergeCell ref="A136:G136"/>
    <mergeCell ref="B137:G137"/>
    <mergeCell ref="B126:G126"/>
    <mergeCell ref="B127:G127"/>
    <mergeCell ref="A128:G128"/>
    <mergeCell ref="B129:G129"/>
    <mergeCell ref="B130:G130"/>
    <mergeCell ref="B131:G131"/>
    <mergeCell ref="A120:G120"/>
    <mergeCell ref="B121:G121"/>
    <mergeCell ref="B122:G122"/>
    <mergeCell ref="B123:G123"/>
    <mergeCell ref="A124:G124"/>
    <mergeCell ref="B125:G125"/>
    <mergeCell ref="B114:G114"/>
    <mergeCell ref="B115:G115"/>
    <mergeCell ref="A116:G116"/>
    <mergeCell ref="B117:G117"/>
    <mergeCell ref="B118:G118"/>
    <mergeCell ref="B119:G119"/>
    <mergeCell ref="A108:G108"/>
    <mergeCell ref="B109:G109"/>
    <mergeCell ref="B110:G110"/>
    <mergeCell ref="B111:G111"/>
    <mergeCell ref="A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5" manualBreakCount="5">
    <brk id="44" max="255" man="1"/>
    <brk id="82" max="255" man="1"/>
    <brk id="115" max="255" man="1"/>
    <brk id="139" max="255" man="1"/>
    <brk id="171" max="255" man="1"/>
  </rowBreaks>
</worksheet>
</file>

<file path=xl/worksheets/sheet6.xml><?xml version="1.0" encoding="utf-8"?>
<worksheet xmlns="http://schemas.openxmlformats.org/spreadsheetml/2006/main" xmlns:r="http://schemas.openxmlformats.org/officeDocument/2006/relationships">
  <dimension ref="A1:G178"/>
  <sheetViews>
    <sheetView showGridLines="0" tabSelected="1" view="pageBreakPreview" zoomScale="80" zoomScaleSheetLayoutView="80" zoomScalePageLayoutView="0" workbookViewId="0" topLeftCell="A169">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1371</v>
      </c>
      <c r="E5" s="141"/>
      <c r="F5" s="141"/>
      <c r="G5" s="142"/>
    </row>
    <row r="6" spans="1:7" ht="15.75">
      <c r="A6" s="137" t="s">
        <v>86</v>
      </c>
      <c r="B6" s="138"/>
      <c r="C6" s="139"/>
      <c r="D6" s="140" t="s">
        <v>87</v>
      </c>
      <c r="E6" s="141"/>
      <c r="F6" s="141"/>
      <c r="G6" s="142"/>
    </row>
    <row r="7" spans="1:7" ht="15.75">
      <c r="A7" s="137" t="s">
        <v>88</v>
      </c>
      <c r="B7" s="138"/>
      <c r="C7" s="139"/>
      <c r="D7" s="140" t="s">
        <v>89</v>
      </c>
      <c r="E7" s="141"/>
      <c r="F7" s="141"/>
      <c r="G7" s="142"/>
    </row>
    <row r="8" spans="1:7" ht="31.5" customHeight="1">
      <c r="A8" s="137" t="s">
        <v>90</v>
      </c>
      <c r="B8" s="138"/>
      <c r="C8" s="139"/>
      <c r="D8" s="140" t="s">
        <v>1514</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40"/>
      <c r="B15" s="168" t="s">
        <v>1373</v>
      </c>
      <c r="C15" s="168"/>
      <c r="D15" s="168"/>
      <c r="E15" s="168"/>
      <c r="F15" s="168"/>
      <c r="G15" s="169"/>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116</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45</v>
      </c>
    </row>
    <row r="30" spans="1:7" ht="15.75">
      <c r="A30" s="105"/>
      <c r="B30" s="105"/>
      <c r="C30" s="105"/>
      <c r="D30" s="105"/>
      <c r="E30" s="105"/>
      <c r="F30" s="45" t="s">
        <v>124</v>
      </c>
      <c r="G30" s="46">
        <v>45</v>
      </c>
    </row>
    <row r="31" spans="1:7" ht="15.75" customHeight="1">
      <c r="A31" s="100" t="s">
        <v>1374</v>
      </c>
      <c r="B31" s="100" t="s">
        <v>1515</v>
      </c>
      <c r="C31" s="100" t="s">
        <v>1376</v>
      </c>
      <c r="D31" s="102" t="s">
        <v>128</v>
      </c>
      <c r="E31" s="102" t="s">
        <v>129</v>
      </c>
      <c r="F31" s="45" t="s">
        <v>130</v>
      </c>
      <c r="G31" s="47">
        <f>0.3*54.7733734085976+0.3*78.4487429748618+0.2*51.8677504208754+0.2*50.1614150628449</f>
        <v>60.372468011781876</v>
      </c>
    </row>
    <row r="32" spans="1:7" ht="27">
      <c r="A32" s="101"/>
      <c r="B32" s="101"/>
      <c r="C32" s="101"/>
      <c r="D32" s="103"/>
      <c r="E32" s="103"/>
      <c r="F32" s="45" t="s">
        <v>131</v>
      </c>
      <c r="G32" s="47">
        <v>134.16104002618195</v>
      </c>
    </row>
    <row r="33" spans="1:7" ht="15.75">
      <c r="A33" s="96" t="s">
        <v>230</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45</v>
      </c>
    </row>
    <row r="36" spans="1:7" ht="15.75">
      <c r="A36" s="105"/>
      <c r="B36" s="105"/>
      <c r="C36" s="105"/>
      <c r="D36" s="105"/>
      <c r="E36" s="105"/>
      <c r="F36" s="45" t="s">
        <v>124</v>
      </c>
      <c r="G36" s="46">
        <v>45</v>
      </c>
    </row>
    <row r="37" spans="1:7" ht="58.5" customHeight="1">
      <c r="A37" s="100" t="s">
        <v>1516</v>
      </c>
      <c r="B37" s="100" t="s">
        <v>1517</v>
      </c>
      <c r="C37" s="100" t="s">
        <v>1518</v>
      </c>
      <c r="D37" s="102" t="s">
        <v>128</v>
      </c>
      <c r="E37" s="102" t="s">
        <v>129</v>
      </c>
      <c r="F37" s="45" t="s">
        <v>130</v>
      </c>
      <c r="G37" s="47">
        <f>+(68.9*0.375)+(78.45*0.375)+(51.87*0.25)</f>
        <v>68.22375000000001</v>
      </c>
    </row>
    <row r="38" spans="1:7" ht="58.5" customHeight="1">
      <c r="A38" s="101"/>
      <c r="B38" s="101"/>
      <c r="C38" s="101"/>
      <c r="D38" s="103"/>
      <c r="E38" s="103"/>
      <c r="F38" s="45" t="s">
        <v>131</v>
      </c>
      <c r="G38" s="47">
        <v>151.6</v>
      </c>
    </row>
    <row r="39" spans="1:7" ht="15.75">
      <c r="A39" s="96" t="s">
        <v>231</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45</v>
      </c>
    </row>
    <row r="42" spans="1:7" ht="15.75">
      <c r="A42" s="105"/>
      <c r="B42" s="105"/>
      <c r="C42" s="105"/>
      <c r="D42" s="105"/>
      <c r="E42" s="105"/>
      <c r="F42" s="45" t="s">
        <v>124</v>
      </c>
      <c r="G42" s="46">
        <v>45</v>
      </c>
    </row>
    <row r="43" spans="1:7" ht="35.25" customHeight="1">
      <c r="A43" s="100" t="s">
        <v>1519</v>
      </c>
      <c r="B43" s="100" t="s">
        <v>1520</v>
      </c>
      <c r="C43" s="100" t="s">
        <v>1521</v>
      </c>
      <c r="D43" s="102" t="s">
        <v>149</v>
      </c>
      <c r="E43" s="102" t="s">
        <v>129</v>
      </c>
      <c r="F43" s="45" t="s">
        <v>130</v>
      </c>
      <c r="G43" s="47">
        <f>+(100/17534)*(15250)</f>
        <v>86.97387932017793</v>
      </c>
    </row>
    <row r="44" spans="1:7" ht="35.25" customHeight="1">
      <c r="A44" s="101"/>
      <c r="B44" s="101"/>
      <c r="C44" s="101"/>
      <c r="D44" s="103"/>
      <c r="E44" s="103"/>
      <c r="F44" s="45" t="s">
        <v>131</v>
      </c>
      <c r="G44" s="47">
        <v>193.27528737817318</v>
      </c>
    </row>
    <row r="45" spans="1:7" ht="15.75" customHeight="1">
      <c r="A45" s="104" t="s">
        <v>119</v>
      </c>
      <c r="B45" s="104" t="s">
        <v>120</v>
      </c>
      <c r="C45" s="104" t="s">
        <v>65</v>
      </c>
      <c r="D45" s="104" t="s">
        <v>121</v>
      </c>
      <c r="E45" s="104" t="s">
        <v>122</v>
      </c>
      <c r="F45" s="45" t="s">
        <v>123</v>
      </c>
      <c r="G45" s="46">
        <v>45</v>
      </c>
    </row>
    <row r="46" spans="1:7" ht="15.75">
      <c r="A46" s="105"/>
      <c r="B46" s="105"/>
      <c r="C46" s="105"/>
      <c r="D46" s="105"/>
      <c r="E46" s="105"/>
      <c r="F46" s="45" t="s">
        <v>124</v>
      </c>
      <c r="G46" s="46">
        <v>45</v>
      </c>
    </row>
    <row r="47" spans="1:7" ht="94.5" customHeight="1">
      <c r="A47" s="100" t="s">
        <v>1522</v>
      </c>
      <c r="B47" s="100" t="s">
        <v>1520</v>
      </c>
      <c r="C47" s="100" t="s">
        <v>1523</v>
      </c>
      <c r="D47" s="102" t="s">
        <v>5</v>
      </c>
      <c r="E47" s="102" t="s">
        <v>129</v>
      </c>
      <c r="F47" s="45" t="s">
        <v>130</v>
      </c>
      <c r="G47" s="47">
        <f>+(6257/7591)*100</f>
        <v>82.42655776577527</v>
      </c>
    </row>
    <row r="48" spans="1:7" ht="94.5" customHeight="1">
      <c r="A48" s="101"/>
      <c r="B48" s="101"/>
      <c r="C48" s="101"/>
      <c r="D48" s="103"/>
      <c r="E48" s="103"/>
      <c r="F48" s="45" t="s">
        <v>131</v>
      </c>
      <c r="G48" s="47">
        <v>183.1701283683895</v>
      </c>
    </row>
    <row r="49" spans="1:7" ht="15.75" customHeight="1">
      <c r="A49" s="104" t="s">
        <v>119</v>
      </c>
      <c r="B49" s="104" t="s">
        <v>120</v>
      </c>
      <c r="C49" s="104" t="s">
        <v>65</v>
      </c>
      <c r="D49" s="104" t="s">
        <v>121</v>
      </c>
      <c r="E49" s="104" t="s">
        <v>122</v>
      </c>
      <c r="F49" s="45" t="s">
        <v>123</v>
      </c>
      <c r="G49" s="46">
        <v>0</v>
      </c>
    </row>
    <row r="50" spans="1:7" ht="15.75">
      <c r="A50" s="105"/>
      <c r="B50" s="105"/>
      <c r="C50" s="105"/>
      <c r="D50" s="105"/>
      <c r="E50" s="105"/>
      <c r="F50" s="45" t="s">
        <v>124</v>
      </c>
      <c r="G50" s="46">
        <v>0</v>
      </c>
    </row>
    <row r="51" spans="1:7" ht="59.25" customHeight="1">
      <c r="A51" s="100" t="s">
        <v>1524</v>
      </c>
      <c r="B51" s="100" t="s">
        <v>1525</v>
      </c>
      <c r="C51" s="100" t="s">
        <v>1526</v>
      </c>
      <c r="D51" s="102" t="s">
        <v>282</v>
      </c>
      <c r="E51" s="102" t="s">
        <v>913</v>
      </c>
      <c r="F51" s="45" t="s">
        <v>130</v>
      </c>
      <c r="G51" s="47">
        <f>+((0.96/0.96)-1)*100</f>
        <v>0</v>
      </c>
    </row>
    <row r="52" spans="1:7" ht="59.25" customHeight="1">
      <c r="A52" s="101"/>
      <c r="B52" s="101"/>
      <c r="C52" s="101"/>
      <c r="D52" s="103"/>
      <c r="E52" s="103"/>
      <c r="F52" s="45" t="s">
        <v>131</v>
      </c>
      <c r="G52" s="47">
        <v>100</v>
      </c>
    </row>
    <row r="53" spans="1:7" ht="15.75">
      <c r="A53" s="96" t="s">
        <v>232</v>
      </c>
      <c r="B53" s="96"/>
      <c r="C53" s="96"/>
      <c r="D53" s="96"/>
      <c r="E53" s="96"/>
      <c r="F53" s="96"/>
      <c r="G53" s="96"/>
    </row>
    <row r="54" spans="1:7" ht="15.75">
      <c r="A54" s="106" t="s">
        <v>117</v>
      </c>
      <c r="B54" s="106"/>
      <c r="C54" s="106"/>
      <c r="D54" s="106"/>
      <c r="E54" s="106"/>
      <c r="F54" s="106" t="s">
        <v>118</v>
      </c>
      <c r="G54" s="106"/>
    </row>
    <row r="55" spans="1:7" ht="15.75" customHeight="1">
      <c r="A55" s="104" t="s">
        <v>119</v>
      </c>
      <c r="B55" s="104" t="s">
        <v>120</v>
      </c>
      <c r="C55" s="104" t="s">
        <v>65</v>
      </c>
      <c r="D55" s="104" t="s">
        <v>121</v>
      </c>
      <c r="E55" s="104" t="s">
        <v>122</v>
      </c>
      <c r="F55" s="45" t="s">
        <v>123</v>
      </c>
      <c r="G55" s="46">
        <v>85</v>
      </c>
    </row>
    <row r="56" spans="1:7" ht="15.75">
      <c r="A56" s="105"/>
      <c r="B56" s="105"/>
      <c r="C56" s="105"/>
      <c r="D56" s="105"/>
      <c r="E56" s="105"/>
      <c r="F56" s="45" t="s">
        <v>124</v>
      </c>
      <c r="G56" s="46">
        <v>87</v>
      </c>
    </row>
    <row r="57" spans="1:7" ht="56.25" customHeight="1">
      <c r="A57" s="100" t="s">
        <v>1527</v>
      </c>
      <c r="B57" s="100" t="s">
        <v>1528</v>
      </c>
      <c r="C57" s="100" t="s">
        <v>1529</v>
      </c>
      <c r="D57" s="102" t="s">
        <v>5</v>
      </c>
      <c r="E57" s="102" t="s">
        <v>142</v>
      </c>
      <c r="F57" s="45" t="s">
        <v>130</v>
      </c>
      <c r="G57" s="47">
        <f>+(208/208)*100</f>
        <v>100</v>
      </c>
    </row>
    <row r="58" spans="1:7" ht="56.25" customHeight="1">
      <c r="A58" s="101"/>
      <c r="B58" s="101"/>
      <c r="C58" s="101"/>
      <c r="D58" s="103"/>
      <c r="E58" s="103"/>
      <c r="F58" s="45" t="s">
        <v>131</v>
      </c>
      <c r="G58" s="47">
        <v>114.94252873563218</v>
      </c>
    </row>
    <row r="59" spans="1:7" ht="15.75" customHeight="1">
      <c r="A59" s="104" t="s">
        <v>119</v>
      </c>
      <c r="B59" s="104" t="s">
        <v>120</v>
      </c>
      <c r="C59" s="104" t="s">
        <v>65</v>
      </c>
      <c r="D59" s="104" t="s">
        <v>121</v>
      </c>
      <c r="E59" s="104" t="s">
        <v>122</v>
      </c>
      <c r="F59" s="45" t="s">
        <v>123</v>
      </c>
      <c r="G59" s="46">
        <v>85</v>
      </c>
    </row>
    <row r="60" spans="1:7" ht="15.75">
      <c r="A60" s="105"/>
      <c r="B60" s="105"/>
      <c r="C60" s="105"/>
      <c r="D60" s="105"/>
      <c r="E60" s="105"/>
      <c r="F60" s="45" t="s">
        <v>124</v>
      </c>
      <c r="G60" s="46">
        <v>87</v>
      </c>
    </row>
    <row r="61" spans="1:7" ht="65.25" customHeight="1">
      <c r="A61" s="100" t="s">
        <v>1530</v>
      </c>
      <c r="B61" s="100" t="s">
        <v>1528</v>
      </c>
      <c r="C61" s="100" t="s">
        <v>1531</v>
      </c>
      <c r="D61" s="102" t="s">
        <v>5</v>
      </c>
      <c r="E61" s="102" t="s">
        <v>142</v>
      </c>
      <c r="F61" s="45" t="s">
        <v>130</v>
      </c>
      <c r="G61" s="47">
        <f>(207/207)*100</f>
        <v>100</v>
      </c>
    </row>
    <row r="62" spans="1:7" ht="65.25" customHeight="1">
      <c r="A62" s="101"/>
      <c r="B62" s="101"/>
      <c r="C62" s="101"/>
      <c r="D62" s="103"/>
      <c r="E62" s="103"/>
      <c r="F62" s="45" t="s">
        <v>131</v>
      </c>
      <c r="G62" s="47">
        <v>114.94252873563218</v>
      </c>
    </row>
    <row r="63" spans="1:7" ht="15.75" customHeight="1">
      <c r="A63" s="104" t="s">
        <v>119</v>
      </c>
      <c r="B63" s="104" t="s">
        <v>120</v>
      </c>
      <c r="C63" s="104" t="s">
        <v>65</v>
      </c>
      <c r="D63" s="104" t="s">
        <v>121</v>
      </c>
      <c r="E63" s="104" t="s">
        <v>122</v>
      </c>
      <c r="F63" s="45" t="s">
        <v>123</v>
      </c>
      <c r="G63" s="46">
        <v>85</v>
      </c>
    </row>
    <row r="64" spans="1:7" s="69" customFormat="1" ht="15.75">
      <c r="A64" s="105"/>
      <c r="B64" s="105"/>
      <c r="C64" s="105"/>
      <c r="D64" s="105"/>
      <c r="E64" s="105"/>
      <c r="F64" s="45" t="s">
        <v>124</v>
      </c>
      <c r="G64" s="46">
        <v>87</v>
      </c>
    </row>
    <row r="65" spans="1:7" s="69" customFormat="1" ht="57" customHeight="1">
      <c r="A65" s="100" t="s">
        <v>1532</v>
      </c>
      <c r="B65" s="100" t="s">
        <v>1528</v>
      </c>
      <c r="C65" s="100" t="s">
        <v>1533</v>
      </c>
      <c r="D65" s="102" t="s">
        <v>5</v>
      </c>
      <c r="E65" s="102" t="s">
        <v>142</v>
      </c>
      <c r="F65" s="45" t="s">
        <v>130</v>
      </c>
      <c r="G65" s="47" t="s">
        <v>668</v>
      </c>
    </row>
    <row r="66" spans="1:7" s="69" customFormat="1" ht="57" customHeight="1">
      <c r="A66" s="101"/>
      <c r="B66" s="101"/>
      <c r="C66" s="101"/>
      <c r="D66" s="103"/>
      <c r="E66" s="103"/>
      <c r="F66" s="45" t="s">
        <v>131</v>
      </c>
      <c r="G66" s="47" t="s">
        <v>668</v>
      </c>
    </row>
    <row r="67" spans="1:7" s="69" customFormat="1" ht="15.75" customHeight="1">
      <c r="A67" s="104" t="s">
        <v>119</v>
      </c>
      <c r="B67" s="104" t="s">
        <v>120</v>
      </c>
      <c r="C67" s="104" t="s">
        <v>65</v>
      </c>
      <c r="D67" s="104" t="s">
        <v>121</v>
      </c>
      <c r="E67" s="104" t="s">
        <v>122</v>
      </c>
      <c r="F67" s="45" t="s">
        <v>123</v>
      </c>
      <c r="G67" s="46">
        <v>85</v>
      </c>
    </row>
    <row r="68" spans="1:7" ht="15.75">
      <c r="A68" s="105"/>
      <c r="B68" s="105"/>
      <c r="C68" s="105"/>
      <c r="D68" s="105"/>
      <c r="E68" s="105"/>
      <c r="F68" s="45" t="s">
        <v>124</v>
      </c>
      <c r="G68" s="46">
        <v>87</v>
      </c>
    </row>
    <row r="69" spans="1:7" ht="39.75" customHeight="1">
      <c r="A69" s="100" t="s">
        <v>1534</v>
      </c>
      <c r="B69" s="100" t="s">
        <v>1535</v>
      </c>
      <c r="C69" s="100" t="s">
        <v>1488</v>
      </c>
      <c r="D69" s="102" t="s">
        <v>5</v>
      </c>
      <c r="E69" s="102" t="s">
        <v>142</v>
      </c>
      <c r="F69" s="45" t="s">
        <v>130</v>
      </c>
      <c r="G69" s="47">
        <f>20/20*100</f>
        <v>100</v>
      </c>
    </row>
    <row r="70" spans="1:7" ht="39.75" customHeight="1">
      <c r="A70" s="101"/>
      <c r="B70" s="101"/>
      <c r="C70" s="101"/>
      <c r="D70" s="103"/>
      <c r="E70" s="103"/>
      <c r="F70" s="45" t="s">
        <v>131</v>
      </c>
      <c r="G70" s="47">
        <v>114.94252873563218</v>
      </c>
    </row>
    <row r="71" spans="1:7" ht="15.75" customHeight="1">
      <c r="A71" s="104" t="s">
        <v>119</v>
      </c>
      <c r="B71" s="104" t="s">
        <v>120</v>
      </c>
      <c r="C71" s="104" t="s">
        <v>65</v>
      </c>
      <c r="D71" s="104" t="s">
        <v>121</v>
      </c>
      <c r="E71" s="104" t="s">
        <v>122</v>
      </c>
      <c r="F71" s="45" t="s">
        <v>123</v>
      </c>
      <c r="G71" s="46">
        <v>85</v>
      </c>
    </row>
    <row r="72" spans="1:7" ht="15.75">
      <c r="A72" s="105"/>
      <c r="B72" s="105"/>
      <c r="C72" s="105"/>
      <c r="D72" s="105"/>
      <c r="E72" s="105"/>
      <c r="F72" s="45" t="s">
        <v>124</v>
      </c>
      <c r="G72" s="46">
        <v>87</v>
      </c>
    </row>
    <row r="73" spans="1:7" ht="33.75" customHeight="1">
      <c r="A73" s="100" t="s">
        <v>1536</v>
      </c>
      <c r="B73" s="100" t="s">
        <v>1537</v>
      </c>
      <c r="C73" s="100" t="s">
        <v>1538</v>
      </c>
      <c r="D73" s="102" t="s">
        <v>5</v>
      </c>
      <c r="E73" s="102" t="s">
        <v>167</v>
      </c>
      <c r="F73" s="45" t="s">
        <v>130</v>
      </c>
      <c r="G73" s="47">
        <f>(26/26)*100</f>
        <v>100</v>
      </c>
    </row>
    <row r="74" spans="1:7" ht="33.75" customHeight="1">
      <c r="A74" s="101"/>
      <c r="B74" s="101"/>
      <c r="C74" s="101"/>
      <c r="D74" s="103"/>
      <c r="E74" s="103"/>
      <c r="F74" s="45" t="s">
        <v>131</v>
      </c>
      <c r="G74" s="47">
        <v>114.94252873563218</v>
      </c>
    </row>
    <row r="75" spans="1:7" ht="15.75" customHeight="1">
      <c r="A75" s="104" t="s">
        <v>119</v>
      </c>
      <c r="B75" s="104" t="s">
        <v>120</v>
      </c>
      <c r="C75" s="104" t="s">
        <v>65</v>
      </c>
      <c r="D75" s="104" t="s">
        <v>121</v>
      </c>
      <c r="E75" s="104" t="s">
        <v>122</v>
      </c>
      <c r="F75" s="45" t="s">
        <v>123</v>
      </c>
      <c r="G75" s="46">
        <v>85</v>
      </c>
    </row>
    <row r="76" spans="1:7" ht="15.75">
      <c r="A76" s="105"/>
      <c r="B76" s="105"/>
      <c r="C76" s="105"/>
      <c r="D76" s="105"/>
      <c r="E76" s="105"/>
      <c r="F76" s="45" t="s">
        <v>124</v>
      </c>
      <c r="G76" s="46">
        <v>87</v>
      </c>
    </row>
    <row r="77" spans="1:7" ht="42" customHeight="1">
      <c r="A77" s="100" t="s">
        <v>1539</v>
      </c>
      <c r="B77" s="100" t="s">
        <v>1540</v>
      </c>
      <c r="C77" s="100" t="s">
        <v>1541</v>
      </c>
      <c r="D77" s="102" t="s">
        <v>5</v>
      </c>
      <c r="E77" s="102" t="s">
        <v>167</v>
      </c>
      <c r="F77" s="45" t="s">
        <v>130</v>
      </c>
      <c r="G77" s="47">
        <f>+(18/18)*100</f>
        <v>100</v>
      </c>
    </row>
    <row r="78" spans="1:7" ht="42" customHeight="1">
      <c r="A78" s="101"/>
      <c r="B78" s="101"/>
      <c r="C78" s="101"/>
      <c r="D78" s="103"/>
      <c r="E78" s="103"/>
      <c r="F78" s="45" t="s">
        <v>131</v>
      </c>
      <c r="G78" s="47">
        <v>114.94252873563218</v>
      </c>
    </row>
    <row r="79" spans="1:7" ht="15.75" customHeight="1">
      <c r="A79" s="104" t="s">
        <v>119</v>
      </c>
      <c r="B79" s="104" t="s">
        <v>120</v>
      </c>
      <c r="C79" s="104" t="s">
        <v>65</v>
      </c>
      <c r="D79" s="104" t="s">
        <v>121</v>
      </c>
      <c r="E79" s="104" t="s">
        <v>122</v>
      </c>
      <c r="F79" s="45" t="s">
        <v>123</v>
      </c>
      <c r="G79" s="46">
        <v>85</v>
      </c>
    </row>
    <row r="80" spans="1:7" ht="15.75">
      <c r="A80" s="105"/>
      <c r="B80" s="105"/>
      <c r="C80" s="105"/>
      <c r="D80" s="105"/>
      <c r="E80" s="105"/>
      <c r="F80" s="45" t="s">
        <v>124</v>
      </c>
      <c r="G80" s="46">
        <v>87</v>
      </c>
    </row>
    <row r="81" spans="1:7" ht="36.75" customHeight="1">
      <c r="A81" s="100" t="s">
        <v>1542</v>
      </c>
      <c r="B81" s="100" t="s">
        <v>1543</v>
      </c>
      <c r="C81" s="100" t="s">
        <v>1544</v>
      </c>
      <c r="D81" s="102" t="s">
        <v>5</v>
      </c>
      <c r="E81" s="102" t="s">
        <v>167</v>
      </c>
      <c r="F81" s="45" t="s">
        <v>130</v>
      </c>
      <c r="G81" s="47">
        <f>+(2184/2218)*100</f>
        <v>98.46708746618576</v>
      </c>
    </row>
    <row r="82" spans="1:7" ht="36.75" customHeight="1">
      <c r="A82" s="101"/>
      <c r="B82" s="101"/>
      <c r="C82" s="101"/>
      <c r="D82" s="103"/>
      <c r="E82" s="103"/>
      <c r="F82" s="45" t="s">
        <v>131</v>
      </c>
      <c r="G82" s="47">
        <v>113.18056030596064</v>
      </c>
    </row>
    <row r="83" spans="1:7" ht="15.75" customHeight="1">
      <c r="A83" s="104" t="s">
        <v>119</v>
      </c>
      <c r="B83" s="104" t="s">
        <v>120</v>
      </c>
      <c r="C83" s="104" t="s">
        <v>65</v>
      </c>
      <c r="D83" s="104" t="s">
        <v>121</v>
      </c>
      <c r="E83" s="104" t="s">
        <v>122</v>
      </c>
      <c r="F83" s="45" t="s">
        <v>123</v>
      </c>
      <c r="G83" s="46">
        <v>85</v>
      </c>
    </row>
    <row r="84" spans="1:7" ht="15.75">
      <c r="A84" s="105"/>
      <c r="B84" s="105"/>
      <c r="C84" s="105"/>
      <c r="D84" s="105"/>
      <c r="E84" s="105"/>
      <c r="F84" s="45" t="s">
        <v>124</v>
      </c>
      <c r="G84" s="46">
        <v>87</v>
      </c>
    </row>
    <row r="85" spans="1:7" ht="87" customHeight="1">
      <c r="A85" s="100" t="s">
        <v>1545</v>
      </c>
      <c r="B85" s="100" t="s">
        <v>1546</v>
      </c>
      <c r="C85" s="100" t="s">
        <v>1547</v>
      </c>
      <c r="D85" s="102" t="s">
        <v>5</v>
      </c>
      <c r="E85" s="102" t="s">
        <v>142</v>
      </c>
      <c r="F85" s="45" t="s">
        <v>130</v>
      </c>
      <c r="G85" s="47">
        <f>(30/30)*100</f>
        <v>100</v>
      </c>
    </row>
    <row r="86" spans="1:7" ht="87" customHeight="1">
      <c r="A86" s="101"/>
      <c r="B86" s="101"/>
      <c r="C86" s="101"/>
      <c r="D86" s="103"/>
      <c r="E86" s="103"/>
      <c r="F86" s="45" t="s">
        <v>131</v>
      </c>
      <c r="G86" s="47">
        <v>114.94252873563218</v>
      </c>
    </row>
    <row r="87" spans="1:7" ht="15.75" customHeight="1">
      <c r="A87" s="104" t="s">
        <v>119</v>
      </c>
      <c r="B87" s="104" t="s">
        <v>120</v>
      </c>
      <c r="C87" s="104" t="s">
        <v>65</v>
      </c>
      <c r="D87" s="104" t="s">
        <v>121</v>
      </c>
      <c r="E87" s="104" t="s">
        <v>122</v>
      </c>
      <c r="F87" s="45" t="s">
        <v>123</v>
      </c>
      <c r="G87" s="46">
        <v>85</v>
      </c>
    </row>
    <row r="88" spans="1:7" ht="15.75">
      <c r="A88" s="105"/>
      <c r="B88" s="105"/>
      <c r="C88" s="105"/>
      <c r="D88" s="105"/>
      <c r="E88" s="105"/>
      <c r="F88" s="45" t="s">
        <v>124</v>
      </c>
      <c r="G88" s="46">
        <v>87</v>
      </c>
    </row>
    <row r="89" spans="1:7" ht="35.25" customHeight="1">
      <c r="A89" s="100" t="s">
        <v>1411</v>
      </c>
      <c r="B89" s="100" t="s">
        <v>1548</v>
      </c>
      <c r="C89" s="100" t="s">
        <v>1549</v>
      </c>
      <c r="D89" s="102" t="s">
        <v>5</v>
      </c>
      <c r="E89" s="102" t="s">
        <v>167</v>
      </c>
      <c r="F89" s="45" t="s">
        <v>130</v>
      </c>
      <c r="G89" s="47">
        <f>+(1/1)*100</f>
        <v>100</v>
      </c>
    </row>
    <row r="90" spans="1:7" ht="35.25" customHeight="1">
      <c r="A90" s="101"/>
      <c r="B90" s="101"/>
      <c r="C90" s="101"/>
      <c r="D90" s="103"/>
      <c r="E90" s="103"/>
      <c r="F90" s="45" t="s">
        <v>131</v>
      </c>
      <c r="G90" s="47">
        <v>114.94252873563218</v>
      </c>
    </row>
    <row r="91" spans="1:7" ht="15.75" customHeight="1">
      <c r="A91" s="104" t="s">
        <v>119</v>
      </c>
      <c r="B91" s="104" t="s">
        <v>120</v>
      </c>
      <c r="C91" s="104" t="s">
        <v>65</v>
      </c>
      <c r="D91" s="104" t="s">
        <v>121</v>
      </c>
      <c r="E91" s="104" t="s">
        <v>122</v>
      </c>
      <c r="F91" s="45" t="s">
        <v>123</v>
      </c>
      <c r="G91" s="46">
        <v>85</v>
      </c>
    </row>
    <row r="92" spans="1:7" ht="15.75">
      <c r="A92" s="105"/>
      <c r="B92" s="105"/>
      <c r="C92" s="105"/>
      <c r="D92" s="105"/>
      <c r="E92" s="105"/>
      <c r="F92" s="45" t="s">
        <v>124</v>
      </c>
      <c r="G92" s="46">
        <v>87</v>
      </c>
    </row>
    <row r="93" spans="1:7" ht="48" customHeight="1">
      <c r="A93" s="100" t="s">
        <v>1550</v>
      </c>
      <c r="B93" s="100" t="s">
        <v>1551</v>
      </c>
      <c r="C93" s="100" t="s">
        <v>1552</v>
      </c>
      <c r="D93" s="102" t="s">
        <v>5</v>
      </c>
      <c r="E93" s="102" t="s">
        <v>142</v>
      </c>
      <c r="F93" s="45" t="s">
        <v>130</v>
      </c>
      <c r="G93" s="47">
        <f>+(16/16)*100</f>
        <v>100</v>
      </c>
    </row>
    <row r="94" spans="1:7" ht="48" customHeight="1">
      <c r="A94" s="101"/>
      <c r="B94" s="101"/>
      <c r="C94" s="101"/>
      <c r="D94" s="103"/>
      <c r="E94" s="103"/>
      <c r="F94" s="45" t="s">
        <v>131</v>
      </c>
      <c r="G94" s="47">
        <v>114.94252873563218</v>
      </c>
    </row>
    <row r="95" spans="1:7" ht="15.75">
      <c r="A95" s="172" t="s">
        <v>192</v>
      </c>
      <c r="B95" s="173"/>
      <c r="C95" s="173"/>
      <c r="D95" s="173"/>
      <c r="E95" s="173"/>
      <c r="F95" s="173"/>
      <c r="G95" s="174"/>
    </row>
    <row r="96" spans="1:7" ht="15.75">
      <c r="A96" s="150" t="str">
        <f>A31</f>
        <v>Indicador Compuesto del Cumplimiento de Obligaciones de Transparencia (ICCOT) </v>
      </c>
      <c r="B96" s="151"/>
      <c r="C96" s="151"/>
      <c r="D96" s="151"/>
      <c r="E96" s="151"/>
      <c r="F96" s="151"/>
      <c r="G96" s="152"/>
    </row>
    <row r="97" spans="1:7" ht="31.5" customHeight="1">
      <c r="A97" s="48" t="s">
        <v>193</v>
      </c>
      <c r="B97" s="156" t="s">
        <v>1367</v>
      </c>
      <c r="C97" s="157"/>
      <c r="D97" s="157"/>
      <c r="E97" s="157"/>
      <c r="F97" s="157"/>
      <c r="G97" s="158"/>
    </row>
    <row r="98" spans="1:7" ht="31.5" customHeight="1">
      <c r="A98" s="49" t="s">
        <v>6</v>
      </c>
      <c r="B98" s="98" t="s">
        <v>1334</v>
      </c>
      <c r="C98" s="98"/>
      <c r="D98" s="98"/>
      <c r="E98" s="98"/>
      <c r="F98" s="98"/>
      <c r="G98" s="98"/>
    </row>
    <row r="99" spans="1:7" ht="15.75">
      <c r="A99" s="49" t="s">
        <v>195</v>
      </c>
      <c r="B99" s="95"/>
      <c r="C99" s="95"/>
      <c r="D99" s="95"/>
      <c r="E99" s="95"/>
      <c r="F99" s="95"/>
      <c r="G99" s="95"/>
    </row>
    <row r="100" spans="1:7" ht="15.75">
      <c r="A100" s="147" t="str">
        <f>A37</f>
        <v>Indicador Compuesto del Cumplimiento de Obligaciones de Transparencia (ICCOT) respecto de los sujetos obligados correspondientes</v>
      </c>
      <c r="B100" s="148"/>
      <c r="C100" s="148"/>
      <c r="D100" s="148"/>
      <c r="E100" s="148"/>
      <c r="F100" s="148"/>
      <c r="G100" s="149"/>
    </row>
    <row r="101" spans="1:7" ht="31.5" customHeight="1">
      <c r="A101" s="49" t="s">
        <v>193</v>
      </c>
      <c r="B101" s="153" t="s">
        <v>1553</v>
      </c>
      <c r="C101" s="154"/>
      <c r="D101" s="154"/>
      <c r="E101" s="154"/>
      <c r="F101" s="154"/>
      <c r="G101" s="155"/>
    </row>
    <row r="102" spans="1:7" ht="31.5" customHeight="1">
      <c r="A102" s="49" t="s">
        <v>6</v>
      </c>
      <c r="B102" s="94" t="s">
        <v>1554</v>
      </c>
      <c r="C102" s="94"/>
      <c r="D102" s="94"/>
      <c r="E102" s="94"/>
      <c r="F102" s="94"/>
      <c r="G102" s="94"/>
    </row>
    <row r="103" spans="1:7" ht="15.75">
      <c r="A103" s="49" t="s">
        <v>195</v>
      </c>
      <c r="B103" s="95" t="s">
        <v>259</v>
      </c>
      <c r="C103" s="95"/>
      <c r="D103" s="95"/>
      <c r="E103" s="95"/>
      <c r="F103" s="95"/>
      <c r="G103" s="95"/>
    </row>
    <row r="104" spans="1:7" ht="15.75">
      <c r="A104" s="147" t="str">
        <f>A43</f>
        <v>Promedio de cumplimiento de los "Sujetos Obligados Correspondientes" respecto a la  actualización de información de obligaciones de transparencia comunes y específicas en  la Plataforma Nacional de Transparencia</v>
      </c>
      <c r="B104" s="148"/>
      <c r="C104" s="148"/>
      <c r="D104" s="148"/>
      <c r="E104" s="148"/>
      <c r="F104" s="148"/>
      <c r="G104" s="149"/>
    </row>
    <row r="105" spans="1:7" ht="31.5" customHeight="1">
      <c r="A105" s="49" t="s">
        <v>193</v>
      </c>
      <c r="B105" s="153" t="s">
        <v>1555</v>
      </c>
      <c r="C105" s="154"/>
      <c r="D105" s="154"/>
      <c r="E105" s="154"/>
      <c r="F105" s="154"/>
      <c r="G105" s="155"/>
    </row>
    <row r="106" spans="1:7" ht="54" customHeight="1">
      <c r="A106" s="49" t="s">
        <v>6</v>
      </c>
      <c r="B106" s="94" t="s">
        <v>1556</v>
      </c>
      <c r="C106" s="94"/>
      <c r="D106" s="94"/>
      <c r="E106" s="94"/>
      <c r="F106" s="94"/>
      <c r="G106" s="94"/>
    </row>
    <row r="107" spans="1:7" ht="15.75">
      <c r="A107" s="49" t="s">
        <v>195</v>
      </c>
      <c r="B107" s="95"/>
      <c r="C107" s="95"/>
      <c r="D107" s="95"/>
      <c r="E107" s="95"/>
      <c r="F107" s="95"/>
      <c r="G107" s="95"/>
    </row>
    <row r="108" spans="1:7" ht="15.75">
      <c r="A108" s="147" t="str">
        <f>A47</f>
        <v>Porcentaje de obligaciones de transparencia comunes y específicas establecidas en la normatividad vigente que los "Sujetos Obligados Correspondientes "actualizan en la Plataforma Nacional de Transparencia.</v>
      </c>
      <c r="B108" s="148"/>
      <c r="C108" s="148"/>
      <c r="D108" s="148"/>
      <c r="E108" s="148"/>
      <c r="F108" s="148"/>
      <c r="G108" s="149"/>
    </row>
    <row r="109" spans="1:7" ht="31.5" customHeight="1">
      <c r="A109" s="49" t="s">
        <v>193</v>
      </c>
      <c r="B109" s="153" t="s">
        <v>1557</v>
      </c>
      <c r="C109" s="154"/>
      <c r="D109" s="154"/>
      <c r="E109" s="154"/>
      <c r="F109" s="154"/>
      <c r="G109" s="155"/>
    </row>
    <row r="110" spans="1:7" ht="39" customHeight="1">
      <c r="A110" s="49" t="s">
        <v>6</v>
      </c>
      <c r="B110" s="94" t="s">
        <v>1558</v>
      </c>
      <c r="C110" s="94"/>
      <c r="D110" s="94"/>
      <c r="E110" s="94"/>
      <c r="F110" s="94"/>
      <c r="G110" s="94"/>
    </row>
    <row r="111" spans="1:7" ht="15.75">
      <c r="A111" s="49" t="s">
        <v>195</v>
      </c>
      <c r="B111" s="95"/>
      <c r="C111" s="95"/>
      <c r="D111" s="95"/>
      <c r="E111" s="95"/>
      <c r="F111" s="95"/>
      <c r="G111" s="95"/>
    </row>
    <row r="112" spans="1:7" ht="15.75">
      <c r="A112" s="147" t="str">
        <f>A51</f>
        <v>Tasa de variación porcentual de las acciones de acompañamiento llevadas a cabo con los Sujetos Obligados</v>
      </c>
      <c r="B112" s="148"/>
      <c r="C112" s="148"/>
      <c r="D112" s="148"/>
      <c r="E112" s="148"/>
      <c r="F112" s="148"/>
      <c r="G112" s="149"/>
    </row>
    <row r="113" spans="1:7" ht="31.5" customHeight="1">
      <c r="A113" s="49" t="s">
        <v>193</v>
      </c>
      <c r="B113" s="153" t="s">
        <v>1559</v>
      </c>
      <c r="C113" s="154"/>
      <c r="D113" s="154"/>
      <c r="E113" s="154"/>
      <c r="F113" s="154"/>
      <c r="G113" s="155"/>
    </row>
    <row r="114" spans="1:7" ht="31.5" customHeight="1">
      <c r="A114" s="49" t="s">
        <v>6</v>
      </c>
      <c r="B114" s="153" t="s">
        <v>1560</v>
      </c>
      <c r="C114" s="154"/>
      <c r="D114" s="154"/>
      <c r="E114" s="154"/>
      <c r="F114" s="154"/>
      <c r="G114" s="155"/>
    </row>
    <row r="115" spans="1:7" ht="15.75">
      <c r="A115" s="49" t="s">
        <v>195</v>
      </c>
      <c r="B115" s="95"/>
      <c r="C115" s="95"/>
      <c r="D115" s="95"/>
      <c r="E115" s="95"/>
      <c r="F115" s="95"/>
      <c r="G115" s="95"/>
    </row>
    <row r="116" spans="1:7" ht="31.5" customHeight="1">
      <c r="A116" s="147" t="str">
        <f>A57</f>
        <v>Porcentaje de "Sujetos Obligados Correspondientes" a los que se verificó que actualizaran en tiempo y forma la información de sus obligaciones que derivan del Título Quinto de la Ley General de Transparencia y Acceso a la Información Pública y del Título Tercero de la Ley Federal de Transparencia y Acceso a la Información Pública en la Plataforma Nacional de Transparencia</v>
      </c>
      <c r="B116" s="148"/>
      <c r="C116" s="148"/>
      <c r="D116" s="148"/>
      <c r="E116" s="148"/>
      <c r="F116" s="148"/>
      <c r="G116" s="149"/>
    </row>
    <row r="117" spans="1:7" ht="50.25" customHeight="1">
      <c r="A117" s="49" t="s">
        <v>193</v>
      </c>
      <c r="B117" s="153" t="s">
        <v>1561</v>
      </c>
      <c r="C117" s="154"/>
      <c r="D117" s="154"/>
      <c r="E117" s="154"/>
      <c r="F117" s="154"/>
      <c r="G117" s="155"/>
    </row>
    <row r="118" spans="1:7" ht="31.5" customHeight="1">
      <c r="A118" s="49" t="s">
        <v>6</v>
      </c>
      <c r="B118" s="94" t="s">
        <v>1562</v>
      </c>
      <c r="C118" s="94"/>
      <c r="D118" s="94"/>
      <c r="E118" s="94"/>
      <c r="F118" s="94"/>
      <c r="G118" s="94"/>
    </row>
    <row r="119" spans="1:7" ht="15.75">
      <c r="A119" s="49" t="s">
        <v>195</v>
      </c>
      <c r="B119" s="95"/>
      <c r="C119" s="95"/>
      <c r="D119" s="95"/>
      <c r="E119" s="95"/>
      <c r="F119" s="95"/>
      <c r="G119" s="95"/>
    </row>
    <row r="120" spans="1:7" ht="31.5" customHeight="1">
      <c r="A120" s="147" t="str">
        <f>A61</f>
        <v>Porcentaje de "Sujetos Obligados Correspondientes" a los que se solicitó atender un área de oportunidad para asegurar la actualización de la información correspondiente a las fracciones de obligaciones de transparencia de los artículos 70 a 83 de la Ley General de Transparencia y Acceso a la Información Pública y 68 a 74 de la Ley Federal de Transparencia y Acceso a la Información Pública</v>
      </c>
      <c r="B120" s="148"/>
      <c r="C120" s="148"/>
      <c r="D120" s="148"/>
      <c r="E120" s="148"/>
      <c r="F120" s="148"/>
      <c r="G120" s="149"/>
    </row>
    <row r="121" spans="1:7" ht="15.75">
      <c r="A121" s="49" t="s">
        <v>193</v>
      </c>
      <c r="B121" s="153" t="s">
        <v>1563</v>
      </c>
      <c r="C121" s="154"/>
      <c r="D121" s="154"/>
      <c r="E121" s="154"/>
      <c r="F121" s="154"/>
      <c r="G121" s="155"/>
    </row>
    <row r="122" spans="1:7" ht="31.5" customHeight="1">
      <c r="A122" s="49" t="s">
        <v>6</v>
      </c>
      <c r="B122" s="94" t="s">
        <v>1564</v>
      </c>
      <c r="C122" s="94"/>
      <c r="D122" s="94"/>
      <c r="E122" s="94"/>
      <c r="F122" s="94"/>
      <c r="G122" s="94"/>
    </row>
    <row r="123" spans="1:7" ht="15.75">
      <c r="A123" s="49" t="s">
        <v>195</v>
      </c>
      <c r="B123" s="95"/>
      <c r="C123" s="95"/>
      <c r="D123" s="95"/>
      <c r="E123" s="95"/>
      <c r="F123" s="95"/>
      <c r="G123" s="95"/>
    </row>
    <row r="124" spans="1:7" ht="31.5" customHeight="1">
      <c r="A124" s="147" t="str">
        <f>A65</f>
        <v>Porcentaje de  "Sujetos Obligados Correspondientes" a los que mediante un comunicado oficial se les solicito atender algún área de oportunidad detectada en materia de obligaciones de transparencia distintas a las de los artículos 70 a 83 de la Ley General de Transparencia y Acceso a la Información Pública y 68 a 74 de la Ley Federal de Transparencia y Acceso a la Información Pública</v>
      </c>
      <c r="B124" s="148"/>
      <c r="C124" s="148"/>
      <c r="D124" s="148"/>
      <c r="E124" s="148"/>
      <c r="F124" s="148"/>
      <c r="G124" s="149"/>
    </row>
    <row r="125" spans="1:7" ht="31.5" customHeight="1">
      <c r="A125" s="49" t="s">
        <v>193</v>
      </c>
      <c r="B125" s="153" t="s">
        <v>1565</v>
      </c>
      <c r="C125" s="154"/>
      <c r="D125" s="154"/>
      <c r="E125" s="154"/>
      <c r="F125" s="154"/>
      <c r="G125" s="155"/>
    </row>
    <row r="126" spans="1:7" ht="31.5" customHeight="1">
      <c r="A126" s="49" t="s">
        <v>6</v>
      </c>
      <c r="B126" s="94" t="s">
        <v>1566</v>
      </c>
      <c r="C126" s="94"/>
      <c r="D126" s="94"/>
      <c r="E126" s="94"/>
      <c r="F126" s="94"/>
      <c r="G126" s="94"/>
    </row>
    <row r="127" spans="1:7" ht="15.75">
      <c r="A127" s="49" t="s">
        <v>195</v>
      </c>
      <c r="B127" s="95"/>
      <c r="C127" s="95"/>
      <c r="D127" s="95"/>
      <c r="E127" s="95"/>
      <c r="F127" s="95"/>
      <c r="G127" s="95"/>
    </row>
    <row r="128" spans="1:7" ht="15.75">
      <c r="A128" s="147" t="str">
        <f>A69</f>
        <v>Porcentaje de acciones de verificación sobre la calidad de las respuestas a solicitudes de información de los "Sujetos Obligados Correspondientes" </v>
      </c>
      <c r="B128" s="148"/>
      <c r="C128" s="148"/>
      <c r="D128" s="148"/>
      <c r="E128" s="148"/>
      <c r="F128" s="148"/>
      <c r="G128" s="149"/>
    </row>
    <row r="129" spans="1:7" ht="31.5" customHeight="1">
      <c r="A129" s="49" t="s">
        <v>193</v>
      </c>
      <c r="B129" s="153" t="s">
        <v>1567</v>
      </c>
      <c r="C129" s="154"/>
      <c r="D129" s="154"/>
      <c r="E129" s="154"/>
      <c r="F129" s="154"/>
      <c r="G129" s="155"/>
    </row>
    <row r="130" spans="1:7" ht="15.75">
      <c r="A130" s="49" t="s">
        <v>6</v>
      </c>
      <c r="B130" s="94" t="s">
        <v>1568</v>
      </c>
      <c r="C130" s="94"/>
      <c r="D130" s="94"/>
      <c r="E130" s="94"/>
      <c r="F130" s="94"/>
      <c r="G130" s="94"/>
    </row>
    <row r="131" spans="1:7" ht="15.75">
      <c r="A131" s="49" t="s">
        <v>195</v>
      </c>
      <c r="B131" s="95"/>
      <c r="C131" s="95"/>
      <c r="D131" s="95"/>
      <c r="E131" s="95"/>
      <c r="F131" s="95"/>
      <c r="G131" s="95"/>
    </row>
    <row r="132" spans="1:7" ht="15.75">
      <c r="A132" s="147" t="str">
        <f>A73</f>
        <v>Porcentaje de reuniones, eventos, grupos de opinión y firmas de convenios llevados a cabo con  los "Sujetos Obligados Correspondientes"</v>
      </c>
      <c r="B132" s="148"/>
      <c r="C132" s="148"/>
      <c r="D132" s="148"/>
      <c r="E132" s="148"/>
      <c r="F132" s="148"/>
      <c r="G132" s="149"/>
    </row>
    <row r="133" spans="1:7" ht="15.75">
      <c r="A133" s="49" t="s">
        <v>193</v>
      </c>
      <c r="B133" s="153" t="s">
        <v>1569</v>
      </c>
      <c r="C133" s="154"/>
      <c r="D133" s="154"/>
      <c r="E133" s="154"/>
      <c r="F133" s="154"/>
      <c r="G133" s="155"/>
    </row>
    <row r="134" spans="1:7" ht="15.75">
      <c r="A134" s="49" t="s">
        <v>6</v>
      </c>
      <c r="B134" s="94" t="s">
        <v>1570</v>
      </c>
      <c r="C134" s="94"/>
      <c r="D134" s="94"/>
      <c r="E134" s="94"/>
      <c r="F134" s="94"/>
      <c r="G134" s="94"/>
    </row>
    <row r="135" spans="1:7" ht="15.75">
      <c r="A135" s="49" t="s">
        <v>195</v>
      </c>
      <c r="B135" s="95"/>
      <c r="C135" s="95"/>
      <c r="D135" s="95"/>
      <c r="E135" s="95"/>
      <c r="F135" s="95"/>
      <c r="G135" s="95"/>
    </row>
    <row r="136" spans="1:7" ht="15.75">
      <c r="A136" s="147" t="str">
        <f>A77</f>
        <v>Porcentaje de programas y políticas difundidas entre los  "Sujetos Obligados Correspondientes" </v>
      </c>
      <c r="B136" s="148"/>
      <c r="C136" s="148"/>
      <c r="D136" s="148"/>
      <c r="E136" s="148"/>
      <c r="F136" s="148"/>
      <c r="G136" s="149"/>
    </row>
    <row r="137" spans="1:7" ht="15.75">
      <c r="A137" s="49" t="s">
        <v>193</v>
      </c>
      <c r="B137" s="153" t="s">
        <v>1571</v>
      </c>
      <c r="C137" s="154"/>
      <c r="D137" s="154"/>
      <c r="E137" s="154"/>
      <c r="F137" s="154"/>
      <c r="G137" s="155"/>
    </row>
    <row r="138" spans="1:7" ht="15.75">
      <c r="A138" s="49" t="s">
        <v>6</v>
      </c>
      <c r="B138" s="94" t="s">
        <v>1572</v>
      </c>
      <c r="C138" s="94"/>
      <c r="D138" s="94"/>
      <c r="E138" s="94"/>
      <c r="F138" s="94"/>
      <c r="G138" s="94"/>
    </row>
    <row r="139" spans="1:7" ht="15.75">
      <c r="A139" s="49" t="s">
        <v>195</v>
      </c>
      <c r="B139" s="95"/>
      <c r="C139" s="95"/>
      <c r="D139" s="95"/>
      <c r="E139" s="95"/>
      <c r="F139" s="95"/>
      <c r="G139" s="95"/>
    </row>
    <row r="140" spans="1:7" ht="15.75">
      <c r="A140" s="147" t="str">
        <f>A81</f>
        <v>Porcentaje de consultas y asesorías atendidas</v>
      </c>
      <c r="B140" s="148"/>
      <c r="C140" s="148"/>
      <c r="D140" s="148"/>
      <c r="E140" s="148"/>
      <c r="F140" s="148"/>
      <c r="G140" s="149"/>
    </row>
    <row r="141" spans="1:7" ht="31.5" customHeight="1">
      <c r="A141" s="49" t="s">
        <v>193</v>
      </c>
      <c r="B141" s="153" t="s">
        <v>1573</v>
      </c>
      <c r="C141" s="154"/>
      <c r="D141" s="154"/>
      <c r="E141" s="154"/>
      <c r="F141" s="154"/>
      <c r="G141" s="155"/>
    </row>
    <row r="142" spans="1:7" ht="15.75">
      <c r="A142" s="49" t="s">
        <v>6</v>
      </c>
      <c r="B142" s="94" t="s">
        <v>1574</v>
      </c>
      <c r="C142" s="94"/>
      <c r="D142" s="94"/>
      <c r="E142" s="94"/>
      <c r="F142" s="94"/>
      <c r="G142" s="94"/>
    </row>
    <row r="143" spans="1:7" ht="15.75">
      <c r="A143" s="49" t="s">
        <v>195</v>
      </c>
      <c r="B143" s="95"/>
      <c r="C143" s="95"/>
      <c r="D143" s="95"/>
      <c r="E143" s="95"/>
      <c r="F143" s="95"/>
      <c r="G143" s="95"/>
    </row>
    <row r="144" spans="1:7" ht="15.75">
      <c r="A144" s="147" t="str">
        <f>A85</f>
        <v>Porcentaje de los "Sujetos Obligados Correspondientes" sensibilizados en materia de Políticas de Acceso, Gobierno Abierto y Transparencia Proactiva.</v>
      </c>
      <c r="B144" s="148"/>
      <c r="C144" s="148"/>
      <c r="D144" s="148"/>
      <c r="E144" s="148"/>
      <c r="F144" s="148"/>
      <c r="G144" s="149"/>
    </row>
    <row r="145" spans="1:7" ht="31.5" customHeight="1">
      <c r="A145" s="49" t="s">
        <v>193</v>
      </c>
      <c r="B145" s="153" t="s">
        <v>1575</v>
      </c>
      <c r="C145" s="154"/>
      <c r="D145" s="154"/>
      <c r="E145" s="154"/>
      <c r="F145" s="154"/>
      <c r="G145" s="155"/>
    </row>
    <row r="146" spans="1:7" ht="15.75">
      <c r="A146" s="49" t="s">
        <v>6</v>
      </c>
      <c r="B146" s="94" t="s">
        <v>1576</v>
      </c>
      <c r="C146" s="94"/>
      <c r="D146" s="94"/>
      <c r="E146" s="94"/>
      <c r="F146" s="94"/>
      <c r="G146" s="94"/>
    </row>
    <row r="147" spans="1:7" ht="15.75">
      <c r="A147" s="49" t="s">
        <v>195</v>
      </c>
      <c r="B147" s="95"/>
      <c r="C147" s="95"/>
      <c r="D147" s="95"/>
      <c r="E147" s="95"/>
      <c r="F147" s="95"/>
      <c r="G147" s="95"/>
    </row>
    <row r="148" spans="1:7" ht="15.75">
      <c r="A148" s="147" t="str">
        <f>A89</f>
        <v>Porcentaje de capacitaciones especializadas impartidas</v>
      </c>
      <c r="B148" s="148"/>
      <c r="C148" s="148"/>
      <c r="D148" s="148"/>
      <c r="E148" s="148"/>
      <c r="F148" s="148"/>
      <c r="G148" s="149"/>
    </row>
    <row r="149" spans="1:7" ht="31.5" customHeight="1">
      <c r="A149" s="49" t="s">
        <v>193</v>
      </c>
      <c r="B149" s="153" t="s">
        <v>1577</v>
      </c>
      <c r="C149" s="154"/>
      <c r="D149" s="154"/>
      <c r="E149" s="154"/>
      <c r="F149" s="154"/>
      <c r="G149" s="155"/>
    </row>
    <row r="150" spans="1:7" ht="15.75">
      <c r="A150" s="49" t="s">
        <v>6</v>
      </c>
      <c r="B150" s="94" t="s">
        <v>1578</v>
      </c>
      <c r="C150" s="94"/>
      <c r="D150" s="94"/>
      <c r="E150" s="94"/>
      <c r="F150" s="94"/>
      <c r="G150" s="94"/>
    </row>
    <row r="151" spans="1:7" ht="15.75">
      <c r="A151" s="49" t="s">
        <v>195</v>
      </c>
      <c r="B151" s="95"/>
      <c r="C151" s="95"/>
      <c r="D151" s="95"/>
      <c r="E151" s="95"/>
      <c r="F151" s="95"/>
      <c r="G151" s="95"/>
    </row>
    <row r="152" spans="1:7" ht="15.75">
      <c r="A152" s="147" t="str">
        <f>A93</f>
        <v>Porcentaje de acciones de acercamiento y fortalecimiento de la relación institucional entre el INAI y los Sujetos Obligados Correspondientes</v>
      </c>
      <c r="B152" s="148"/>
      <c r="C152" s="148"/>
      <c r="D152" s="148"/>
      <c r="E152" s="148"/>
      <c r="F152" s="148"/>
      <c r="G152" s="149"/>
    </row>
    <row r="153" spans="1:7" ht="41.25" customHeight="1">
      <c r="A153" s="49" t="s">
        <v>193</v>
      </c>
      <c r="B153" s="153" t="s">
        <v>1579</v>
      </c>
      <c r="C153" s="154"/>
      <c r="D153" s="154"/>
      <c r="E153" s="154"/>
      <c r="F153" s="154"/>
      <c r="G153" s="155"/>
    </row>
    <row r="154" spans="1:7" ht="15.75">
      <c r="A154" s="49" t="s">
        <v>6</v>
      </c>
      <c r="B154" s="94" t="s">
        <v>1580</v>
      </c>
      <c r="C154" s="94"/>
      <c r="D154" s="94"/>
      <c r="E154" s="94"/>
      <c r="F154" s="94"/>
      <c r="G154" s="94"/>
    </row>
    <row r="155" spans="1:7" ht="15.75">
      <c r="A155" s="49" t="s">
        <v>195</v>
      </c>
      <c r="B155" s="95"/>
      <c r="C155" s="95"/>
      <c r="D155" s="95"/>
      <c r="E155" s="95"/>
      <c r="F155" s="95"/>
      <c r="G155" s="95"/>
    </row>
    <row r="156" spans="1:7" ht="15.75">
      <c r="A156" s="146"/>
      <c r="B156" s="146"/>
      <c r="C156" s="146"/>
      <c r="D156" s="146"/>
      <c r="E156" s="146"/>
      <c r="F156" s="146"/>
      <c r="G156" s="146"/>
    </row>
    <row r="157" spans="1:7" ht="15.75">
      <c r="A157" s="96" t="s">
        <v>226</v>
      </c>
      <c r="B157" s="96"/>
      <c r="C157" s="96"/>
      <c r="D157" s="96"/>
      <c r="E157" s="96"/>
      <c r="F157" s="96"/>
      <c r="G157" s="96"/>
    </row>
    <row r="158" spans="1:7" ht="31.5" customHeight="1">
      <c r="A158" s="147" t="str">
        <f>A57</f>
        <v>Porcentaje de "Sujetos Obligados Correspondientes" a los que se verificó que actualizaran en tiempo y forma la información de sus obligaciones que derivan del Título Quinto de la Ley General de Transparencia y Acceso a la Información Pública y del Título Tercero de la Ley Federal de Transparencia y Acceso a la Información Pública en la Plataforma Nacional de Transparencia</v>
      </c>
      <c r="B158" s="148"/>
      <c r="C158" s="148"/>
      <c r="D158" s="148"/>
      <c r="E158" s="148"/>
      <c r="F158" s="148"/>
      <c r="G158" s="149"/>
    </row>
    <row r="159" spans="1:7" ht="31.5" customHeight="1">
      <c r="A159" s="49" t="s">
        <v>227</v>
      </c>
      <c r="B159" s="178" t="s">
        <v>1581</v>
      </c>
      <c r="C159" s="179"/>
      <c r="D159" s="179"/>
      <c r="E159" s="179"/>
      <c r="F159" s="179"/>
      <c r="G159" s="180"/>
    </row>
    <row r="160" spans="1:7" ht="31.5" customHeight="1">
      <c r="A160" s="147" t="str">
        <f>A61</f>
        <v>Porcentaje de "Sujetos Obligados Correspondientes" a los que se solicitó atender un área de oportunidad para asegurar la actualización de la información correspondiente a las fracciones de obligaciones de transparencia de los artículos 70 a 83 de la Ley General de Transparencia y Acceso a la Información Pública y 68 a 74 de la Ley Federal de Transparencia y Acceso a la Información Pública</v>
      </c>
      <c r="B160" s="148"/>
      <c r="C160" s="148"/>
      <c r="D160" s="148"/>
      <c r="E160" s="148"/>
      <c r="F160" s="148"/>
      <c r="G160" s="149"/>
    </row>
    <row r="161" spans="1:7" ht="31.5" customHeight="1">
      <c r="A161" s="49" t="s">
        <v>227</v>
      </c>
      <c r="B161" s="178" t="s">
        <v>1581</v>
      </c>
      <c r="C161" s="179"/>
      <c r="D161" s="179"/>
      <c r="E161" s="179"/>
      <c r="F161" s="179"/>
      <c r="G161" s="180"/>
    </row>
    <row r="162" spans="1:7" ht="31.5" customHeight="1">
      <c r="A162" s="147" t="str">
        <f>A65</f>
        <v>Porcentaje de  "Sujetos Obligados Correspondientes" a los que mediante un comunicado oficial se les solicito atender algún área de oportunidad detectada en materia de obligaciones de transparencia distintas a las de los artículos 70 a 83 de la Ley General de Transparencia y Acceso a la Información Pública y 68 a 74 de la Ley Federal de Transparencia y Acceso a la Información Pública</v>
      </c>
      <c r="B162" s="148"/>
      <c r="C162" s="148"/>
      <c r="D162" s="148"/>
      <c r="E162" s="148"/>
      <c r="F162" s="148"/>
      <c r="G162" s="149"/>
    </row>
    <row r="163" spans="1:7" ht="31.5" customHeight="1">
      <c r="A163" s="49" t="s">
        <v>227</v>
      </c>
      <c r="B163" s="178" t="s">
        <v>1581</v>
      </c>
      <c r="C163" s="179"/>
      <c r="D163" s="179"/>
      <c r="E163" s="179"/>
      <c r="F163" s="179"/>
      <c r="G163" s="180"/>
    </row>
    <row r="164" spans="1:7" ht="15.75">
      <c r="A164" s="147" t="str">
        <f>A69</f>
        <v>Porcentaje de acciones de verificación sobre la calidad de las respuestas a solicitudes de información de los "Sujetos Obligados Correspondientes" </v>
      </c>
      <c r="B164" s="148"/>
      <c r="C164" s="148"/>
      <c r="D164" s="148"/>
      <c r="E164" s="148"/>
      <c r="F164" s="148"/>
      <c r="G164" s="149"/>
    </row>
    <row r="165" spans="1:7" ht="31.5" customHeight="1">
      <c r="A165" s="49" t="s">
        <v>227</v>
      </c>
      <c r="B165" s="178" t="s">
        <v>1581</v>
      </c>
      <c r="C165" s="179"/>
      <c r="D165" s="179"/>
      <c r="E165" s="179"/>
      <c r="F165" s="179"/>
      <c r="G165" s="180"/>
    </row>
    <row r="166" spans="1:7" ht="15.75">
      <c r="A166" s="147" t="str">
        <f>A73</f>
        <v>Porcentaje de reuniones, eventos, grupos de opinión y firmas de convenios llevados a cabo con  los "Sujetos Obligados Correspondientes"</v>
      </c>
      <c r="B166" s="148"/>
      <c r="C166" s="148"/>
      <c r="D166" s="148"/>
      <c r="E166" s="148"/>
      <c r="F166" s="148"/>
      <c r="G166" s="149"/>
    </row>
    <row r="167" spans="1:7" ht="15.75">
      <c r="A167" s="49" t="s">
        <v>227</v>
      </c>
      <c r="B167" s="178" t="s">
        <v>1582</v>
      </c>
      <c r="C167" s="179"/>
      <c r="D167" s="179"/>
      <c r="E167" s="179"/>
      <c r="F167" s="179"/>
      <c r="G167" s="180"/>
    </row>
    <row r="168" spans="1:7" ht="15.75">
      <c r="A168" s="147" t="str">
        <f>A77</f>
        <v>Porcentaje de programas y políticas difundidas entre los  "Sujetos Obligados Correspondientes" </v>
      </c>
      <c r="B168" s="148"/>
      <c r="C168" s="148"/>
      <c r="D168" s="148"/>
      <c r="E168" s="148"/>
      <c r="F168" s="148"/>
      <c r="G168" s="149"/>
    </row>
    <row r="169" spans="1:7" ht="31.5" customHeight="1">
      <c r="A169" s="49" t="s">
        <v>227</v>
      </c>
      <c r="B169" s="178" t="s">
        <v>1583</v>
      </c>
      <c r="C169" s="179"/>
      <c r="D169" s="179"/>
      <c r="E169" s="179"/>
      <c r="F169" s="179"/>
      <c r="G169" s="180"/>
    </row>
    <row r="170" spans="1:7" ht="15.75">
      <c r="A170" s="147" t="str">
        <f>A81</f>
        <v>Porcentaje de consultas y asesorías atendidas</v>
      </c>
      <c r="B170" s="148"/>
      <c r="C170" s="148"/>
      <c r="D170" s="148"/>
      <c r="E170" s="148"/>
      <c r="F170" s="148"/>
      <c r="G170" s="149"/>
    </row>
    <row r="171" spans="1:7" ht="31.5" customHeight="1">
      <c r="A171" s="49" t="s">
        <v>227</v>
      </c>
      <c r="B171" s="178" t="s">
        <v>1584</v>
      </c>
      <c r="C171" s="179"/>
      <c r="D171" s="179"/>
      <c r="E171" s="179"/>
      <c r="F171" s="179"/>
      <c r="G171" s="180"/>
    </row>
    <row r="172" spans="1:7" ht="15.75">
      <c r="A172" s="147" t="str">
        <f>A85</f>
        <v>Porcentaje de los "Sujetos Obligados Correspondientes" sensibilizados en materia de Políticas de Acceso, Gobierno Abierto y Transparencia Proactiva.</v>
      </c>
      <c r="B172" s="148"/>
      <c r="C172" s="148"/>
      <c r="D172" s="148"/>
      <c r="E172" s="148"/>
      <c r="F172" s="148"/>
      <c r="G172" s="149"/>
    </row>
    <row r="173" spans="1:7" ht="15.75">
      <c r="A173" s="49" t="s">
        <v>227</v>
      </c>
      <c r="B173" s="178" t="s">
        <v>1582</v>
      </c>
      <c r="C173" s="179"/>
      <c r="D173" s="179"/>
      <c r="E173" s="179"/>
      <c r="F173" s="179"/>
      <c r="G173" s="180"/>
    </row>
    <row r="174" spans="1:7" ht="15.75">
      <c r="A174" s="147" t="str">
        <f>A89</f>
        <v>Porcentaje de capacitaciones especializadas impartidas</v>
      </c>
      <c r="B174" s="148"/>
      <c r="C174" s="148"/>
      <c r="D174" s="148"/>
      <c r="E174" s="148"/>
      <c r="F174" s="148"/>
      <c r="G174" s="149"/>
    </row>
    <row r="175" spans="1:7" ht="15.75">
      <c r="A175" s="49" t="s">
        <v>227</v>
      </c>
      <c r="B175" s="178" t="s">
        <v>1582</v>
      </c>
      <c r="C175" s="179"/>
      <c r="D175" s="179"/>
      <c r="E175" s="179"/>
      <c r="F175" s="179"/>
      <c r="G175" s="180"/>
    </row>
    <row r="176" spans="1:7" ht="15.75">
      <c r="A176" s="147" t="str">
        <f>A93</f>
        <v>Porcentaje de acciones de acercamiento y fortalecimiento de la relación institucional entre el INAI y los Sujetos Obligados Correspondientes</v>
      </c>
      <c r="B176" s="148"/>
      <c r="C176" s="148"/>
      <c r="D176" s="148"/>
      <c r="E176" s="148"/>
      <c r="F176" s="148"/>
      <c r="G176" s="149"/>
    </row>
    <row r="177" spans="1:7" ht="31.5" customHeight="1">
      <c r="A177" s="49" t="s">
        <v>227</v>
      </c>
      <c r="B177" s="178" t="s">
        <v>1585</v>
      </c>
      <c r="C177" s="179"/>
      <c r="D177" s="179"/>
      <c r="E177" s="179"/>
      <c r="F177" s="179"/>
      <c r="G177" s="180"/>
    </row>
    <row r="178" spans="1:7" ht="31.5" customHeight="1">
      <c r="A178" s="93" t="s">
        <v>229</v>
      </c>
      <c r="B178" s="93"/>
      <c r="C178" s="93"/>
      <c r="D178" s="93"/>
      <c r="E178" s="93"/>
      <c r="F178" s="93"/>
      <c r="G178" s="93"/>
    </row>
  </sheetData>
  <sheetProtection/>
  <mergeCells count="279">
    <mergeCell ref="A174:G174"/>
    <mergeCell ref="B175:G175"/>
    <mergeCell ref="A176:G176"/>
    <mergeCell ref="B177:G177"/>
    <mergeCell ref="A178:G178"/>
    <mergeCell ref="A168:G168"/>
    <mergeCell ref="B169:G169"/>
    <mergeCell ref="A170:G170"/>
    <mergeCell ref="B171:G171"/>
    <mergeCell ref="A172:G172"/>
    <mergeCell ref="B173:G173"/>
    <mergeCell ref="A162:G162"/>
    <mergeCell ref="B163:G163"/>
    <mergeCell ref="A164:G164"/>
    <mergeCell ref="B165:G165"/>
    <mergeCell ref="A166:G166"/>
    <mergeCell ref="B167:G167"/>
    <mergeCell ref="A156:G156"/>
    <mergeCell ref="A157:G157"/>
    <mergeCell ref="A158:G158"/>
    <mergeCell ref="B159:G159"/>
    <mergeCell ref="A160:G160"/>
    <mergeCell ref="B161:G161"/>
    <mergeCell ref="B150:G150"/>
    <mergeCell ref="B151:G151"/>
    <mergeCell ref="A152:G152"/>
    <mergeCell ref="B153:G153"/>
    <mergeCell ref="B154:G154"/>
    <mergeCell ref="B155:G155"/>
    <mergeCell ref="A144:G144"/>
    <mergeCell ref="B145:G145"/>
    <mergeCell ref="B146:G146"/>
    <mergeCell ref="B147:G147"/>
    <mergeCell ref="A148:G148"/>
    <mergeCell ref="B149:G149"/>
    <mergeCell ref="B138:G138"/>
    <mergeCell ref="B139:G139"/>
    <mergeCell ref="A140:G140"/>
    <mergeCell ref="B141:G141"/>
    <mergeCell ref="B142:G142"/>
    <mergeCell ref="B143:G143"/>
    <mergeCell ref="A132:G132"/>
    <mergeCell ref="B133:G133"/>
    <mergeCell ref="B134:G134"/>
    <mergeCell ref="B135:G135"/>
    <mergeCell ref="A136:G136"/>
    <mergeCell ref="B137:G137"/>
    <mergeCell ref="B126:G126"/>
    <mergeCell ref="B127:G127"/>
    <mergeCell ref="A128:G128"/>
    <mergeCell ref="B129:G129"/>
    <mergeCell ref="B130:G130"/>
    <mergeCell ref="B131:G131"/>
    <mergeCell ref="A120:G120"/>
    <mergeCell ref="B121:G121"/>
    <mergeCell ref="B122:G122"/>
    <mergeCell ref="B123:G123"/>
    <mergeCell ref="A124:G124"/>
    <mergeCell ref="B125:G125"/>
    <mergeCell ref="B114:G114"/>
    <mergeCell ref="B115:G115"/>
    <mergeCell ref="A116:G116"/>
    <mergeCell ref="B117:G117"/>
    <mergeCell ref="B118:G118"/>
    <mergeCell ref="B119:G119"/>
    <mergeCell ref="A108:G108"/>
    <mergeCell ref="B109:G109"/>
    <mergeCell ref="B110:G110"/>
    <mergeCell ref="B111:G111"/>
    <mergeCell ref="A112:G112"/>
    <mergeCell ref="B113:G113"/>
    <mergeCell ref="B102:G102"/>
    <mergeCell ref="B103:G103"/>
    <mergeCell ref="A104:G104"/>
    <mergeCell ref="B105:G105"/>
    <mergeCell ref="B106:G106"/>
    <mergeCell ref="B107:G107"/>
    <mergeCell ref="A96:G96"/>
    <mergeCell ref="B97:G97"/>
    <mergeCell ref="B98:G98"/>
    <mergeCell ref="B99:G99"/>
    <mergeCell ref="A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5" manualBreakCount="5">
    <brk id="44" max="255" man="1"/>
    <brk id="66" max="255" man="1"/>
    <brk id="94" max="255" man="1"/>
    <brk id="131" max="255" man="1"/>
    <brk id="156" max="255" man="1"/>
  </rowBreaks>
</worksheet>
</file>

<file path=xl/worksheets/sheet7.xml><?xml version="1.0" encoding="utf-8"?>
<worksheet xmlns="http://schemas.openxmlformats.org/spreadsheetml/2006/main" xmlns:r="http://schemas.openxmlformats.org/officeDocument/2006/relationships">
  <dimension ref="A1:G209"/>
  <sheetViews>
    <sheetView showGridLines="0" tabSelected="1" view="pageBreakPreview" zoomScale="80" zoomScaleSheetLayoutView="80" zoomScalePageLayoutView="0" workbookViewId="0" topLeftCell="A190">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1371</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1586</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40"/>
      <c r="B15" s="168" t="s">
        <v>1373</v>
      </c>
      <c r="C15" s="168"/>
      <c r="D15" s="168"/>
      <c r="E15" s="168"/>
      <c r="F15" s="168"/>
      <c r="G15" s="169"/>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116</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45</v>
      </c>
    </row>
    <row r="30" spans="1:7" ht="15.75">
      <c r="A30" s="105"/>
      <c r="B30" s="105"/>
      <c r="C30" s="105"/>
      <c r="D30" s="105"/>
      <c r="E30" s="105"/>
      <c r="F30" s="45" t="s">
        <v>124</v>
      </c>
      <c r="G30" s="46">
        <v>45</v>
      </c>
    </row>
    <row r="31" spans="1:7" ht="15.75" customHeight="1">
      <c r="A31" s="100" t="s">
        <v>1374</v>
      </c>
      <c r="B31" s="100" t="s">
        <v>1587</v>
      </c>
      <c r="C31" s="100" t="s">
        <v>1376</v>
      </c>
      <c r="D31" s="102" t="s">
        <v>128</v>
      </c>
      <c r="E31" s="102" t="s">
        <v>129</v>
      </c>
      <c r="F31" s="45" t="s">
        <v>130</v>
      </c>
      <c r="G31" s="47">
        <f>0.3*54.7733734085976+0.3*78.4487429748618+0.2*51.8677504208754+0.2*50.1614150628449</f>
        <v>60.372468011781876</v>
      </c>
    </row>
    <row r="32" spans="1:7" ht="27">
      <c r="A32" s="101"/>
      <c r="B32" s="101"/>
      <c r="C32" s="101"/>
      <c r="D32" s="103"/>
      <c r="E32" s="103"/>
      <c r="F32" s="45" t="s">
        <v>131</v>
      </c>
      <c r="G32" s="47">
        <v>134.16104002618195</v>
      </c>
    </row>
    <row r="33" spans="1:7" ht="15.75">
      <c r="A33" s="96" t="s">
        <v>230</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80</v>
      </c>
    </row>
    <row r="36" spans="1:7" ht="15.75">
      <c r="A36" s="105"/>
      <c r="B36" s="105"/>
      <c r="C36" s="105"/>
      <c r="D36" s="105"/>
      <c r="E36" s="105"/>
      <c r="F36" s="45" t="s">
        <v>124</v>
      </c>
      <c r="G36" s="46">
        <v>80</v>
      </c>
    </row>
    <row r="37" spans="1:7" ht="15.75" customHeight="1">
      <c r="A37" s="100" t="s">
        <v>1588</v>
      </c>
      <c r="B37" s="100" t="s">
        <v>1589</v>
      </c>
      <c r="C37" s="100" t="s">
        <v>1590</v>
      </c>
      <c r="D37" s="102" t="s">
        <v>5</v>
      </c>
      <c r="E37" s="102" t="s">
        <v>129</v>
      </c>
      <c r="F37" s="45" t="s">
        <v>130</v>
      </c>
      <c r="G37" s="47">
        <f>(360/360)*100</f>
        <v>100</v>
      </c>
    </row>
    <row r="38" spans="1:7" ht="27">
      <c r="A38" s="101"/>
      <c r="B38" s="101"/>
      <c r="C38" s="101"/>
      <c r="D38" s="103"/>
      <c r="E38" s="103"/>
      <c r="F38" s="45" t="s">
        <v>131</v>
      </c>
      <c r="G38" s="47">
        <v>125</v>
      </c>
    </row>
    <row r="39" spans="1:7" ht="15.75">
      <c r="A39" s="96" t="s">
        <v>231</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80</v>
      </c>
    </row>
    <row r="42" spans="1:7" ht="15.75">
      <c r="A42" s="105"/>
      <c r="B42" s="105"/>
      <c r="C42" s="105"/>
      <c r="D42" s="105"/>
      <c r="E42" s="105"/>
      <c r="F42" s="45" t="s">
        <v>124</v>
      </c>
      <c r="G42" s="46">
        <v>80</v>
      </c>
    </row>
    <row r="43" spans="1:7" ht="15.75" customHeight="1">
      <c r="A43" s="100" t="s">
        <v>1591</v>
      </c>
      <c r="B43" s="100" t="s">
        <v>1592</v>
      </c>
      <c r="C43" s="100" t="s">
        <v>1593</v>
      </c>
      <c r="D43" s="102" t="s">
        <v>5</v>
      </c>
      <c r="E43" s="102" t="s">
        <v>129</v>
      </c>
      <c r="F43" s="45" t="s">
        <v>130</v>
      </c>
      <c r="G43" s="47">
        <f>(6/6)*100</f>
        <v>100</v>
      </c>
    </row>
    <row r="44" spans="1:7" ht="27">
      <c r="A44" s="101"/>
      <c r="B44" s="101"/>
      <c r="C44" s="101"/>
      <c r="D44" s="103"/>
      <c r="E44" s="103"/>
      <c r="F44" s="45" t="s">
        <v>131</v>
      </c>
      <c r="G44" s="47">
        <v>125</v>
      </c>
    </row>
    <row r="45" spans="1:7" ht="15.75" customHeight="1">
      <c r="A45" s="104" t="s">
        <v>119</v>
      </c>
      <c r="B45" s="104" t="s">
        <v>120</v>
      </c>
      <c r="C45" s="104" t="s">
        <v>65</v>
      </c>
      <c r="D45" s="104" t="s">
        <v>121</v>
      </c>
      <c r="E45" s="104" t="s">
        <v>122</v>
      </c>
      <c r="F45" s="45" t="s">
        <v>123</v>
      </c>
      <c r="G45" s="46">
        <v>85</v>
      </c>
    </row>
    <row r="46" spans="1:7" ht="15.75">
      <c r="A46" s="105"/>
      <c r="B46" s="105"/>
      <c r="C46" s="105"/>
      <c r="D46" s="105"/>
      <c r="E46" s="105"/>
      <c r="F46" s="45" t="s">
        <v>124</v>
      </c>
      <c r="G46" s="46">
        <v>85</v>
      </c>
    </row>
    <row r="47" spans="1:7" ht="15.75" customHeight="1">
      <c r="A47" s="100" t="s">
        <v>1594</v>
      </c>
      <c r="B47" s="100" t="s">
        <v>1595</v>
      </c>
      <c r="C47" s="100" t="s">
        <v>1596</v>
      </c>
      <c r="D47" s="102" t="s">
        <v>5</v>
      </c>
      <c r="E47" s="102" t="s">
        <v>913</v>
      </c>
      <c r="F47" s="45" t="s">
        <v>130</v>
      </c>
      <c r="G47" s="47">
        <f>(7/7)*100</f>
        <v>100</v>
      </c>
    </row>
    <row r="48" spans="1:7" ht="27">
      <c r="A48" s="101"/>
      <c r="B48" s="101"/>
      <c r="C48" s="101"/>
      <c r="D48" s="103"/>
      <c r="E48" s="103"/>
      <c r="F48" s="45" t="s">
        <v>131</v>
      </c>
      <c r="G48" s="47">
        <v>117.64705882352942</v>
      </c>
    </row>
    <row r="49" spans="1:7" ht="15.75">
      <c r="A49" s="96" t="s">
        <v>232</v>
      </c>
      <c r="B49" s="96"/>
      <c r="C49" s="96"/>
      <c r="D49" s="96"/>
      <c r="E49" s="96"/>
      <c r="F49" s="96"/>
      <c r="G49" s="96"/>
    </row>
    <row r="50" spans="1:7" ht="15.75">
      <c r="A50" s="106" t="s">
        <v>117</v>
      </c>
      <c r="B50" s="106"/>
      <c r="C50" s="106"/>
      <c r="D50" s="106"/>
      <c r="E50" s="106"/>
      <c r="F50" s="106" t="s">
        <v>118</v>
      </c>
      <c r="G50" s="106"/>
    </row>
    <row r="51" spans="1:7" ht="15.75" customHeight="1">
      <c r="A51" s="104" t="s">
        <v>119</v>
      </c>
      <c r="B51" s="104" t="s">
        <v>120</v>
      </c>
      <c r="C51" s="104" t="s">
        <v>65</v>
      </c>
      <c r="D51" s="104" t="s">
        <v>121</v>
      </c>
      <c r="E51" s="104" t="s">
        <v>122</v>
      </c>
      <c r="F51" s="45" t="s">
        <v>123</v>
      </c>
      <c r="G51" s="46">
        <v>100</v>
      </c>
    </row>
    <row r="52" spans="1:7" ht="15.75">
      <c r="A52" s="105"/>
      <c r="B52" s="105"/>
      <c r="C52" s="105"/>
      <c r="D52" s="105"/>
      <c r="E52" s="105"/>
      <c r="F52" s="45" t="s">
        <v>124</v>
      </c>
      <c r="G52" s="46">
        <v>100</v>
      </c>
    </row>
    <row r="53" spans="1:7" ht="15.75" customHeight="1">
      <c r="A53" s="100" t="s">
        <v>1597</v>
      </c>
      <c r="B53" s="100" t="s">
        <v>1598</v>
      </c>
      <c r="C53" s="100" t="s">
        <v>1599</v>
      </c>
      <c r="D53" s="102" t="s">
        <v>5</v>
      </c>
      <c r="E53" s="102" t="s">
        <v>298</v>
      </c>
      <c r="F53" s="45" t="s">
        <v>130</v>
      </c>
      <c r="G53" s="47">
        <f>(358/360)*100</f>
        <v>99.44444444444444</v>
      </c>
    </row>
    <row r="54" spans="1:7" ht="27">
      <c r="A54" s="101"/>
      <c r="B54" s="101"/>
      <c r="C54" s="101"/>
      <c r="D54" s="103"/>
      <c r="E54" s="103"/>
      <c r="F54" s="45" t="s">
        <v>131</v>
      </c>
      <c r="G54" s="47">
        <v>99.44444444444444</v>
      </c>
    </row>
    <row r="55" spans="1:7" ht="15.75" customHeight="1">
      <c r="A55" s="104" t="s">
        <v>119</v>
      </c>
      <c r="B55" s="104" t="s">
        <v>120</v>
      </c>
      <c r="C55" s="104" t="s">
        <v>65</v>
      </c>
      <c r="D55" s="104" t="s">
        <v>121</v>
      </c>
      <c r="E55" s="104" t="s">
        <v>122</v>
      </c>
      <c r="F55" s="45" t="s">
        <v>123</v>
      </c>
      <c r="G55" s="46">
        <v>100</v>
      </c>
    </row>
    <row r="56" spans="1:7" ht="15.75">
      <c r="A56" s="105"/>
      <c r="B56" s="105"/>
      <c r="C56" s="105"/>
      <c r="D56" s="105"/>
      <c r="E56" s="105"/>
      <c r="F56" s="45" t="s">
        <v>124</v>
      </c>
      <c r="G56" s="46">
        <v>100</v>
      </c>
    </row>
    <row r="57" spans="1:7" ht="15.75" customHeight="1">
      <c r="A57" s="100" t="s">
        <v>1600</v>
      </c>
      <c r="B57" s="100" t="s">
        <v>1601</v>
      </c>
      <c r="C57" s="100" t="s">
        <v>1602</v>
      </c>
      <c r="D57" s="102" t="s">
        <v>5</v>
      </c>
      <c r="E57" s="102" t="s">
        <v>142</v>
      </c>
      <c r="F57" s="45" t="s">
        <v>130</v>
      </c>
      <c r="G57" s="47">
        <f>(17/17)*100</f>
        <v>100</v>
      </c>
    </row>
    <row r="58" spans="1:7" ht="27">
      <c r="A58" s="101"/>
      <c r="B58" s="101"/>
      <c r="C58" s="101"/>
      <c r="D58" s="103"/>
      <c r="E58" s="103"/>
      <c r="F58" s="45" t="s">
        <v>131</v>
      </c>
      <c r="G58" s="47">
        <v>100</v>
      </c>
    </row>
    <row r="59" spans="1:7" ht="15.75" customHeight="1">
      <c r="A59" s="104" t="s">
        <v>119</v>
      </c>
      <c r="B59" s="104" t="s">
        <v>120</v>
      </c>
      <c r="C59" s="104" t="s">
        <v>65</v>
      </c>
      <c r="D59" s="104" t="s">
        <v>121</v>
      </c>
      <c r="E59" s="104" t="s">
        <v>122</v>
      </c>
      <c r="F59" s="45" t="s">
        <v>123</v>
      </c>
      <c r="G59" s="46">
        <v>100</v>
      </c>
    </row>
    <row r="60" spans="1:7" ht="15.75">
      <c r="A60" s="105"/>
      <c r="B60" s="105"/>
      <c r="C60" s="105"/>
      <c r="D60" s="105"/>
      <c r="E60" s="105"/>
      <c r="F60" s="45" t="s">
        <v>124</v>
      </c>
      <c r="G60" s="46">
        <v>100</v>
      </c>
    </row>
    <row r="61" spans="1:7" ht="15.75" customHeight="1">
      <c r="A61" s="100" t="s">
        <v>1603</v>
      </c>
      <c r="B61" s="100" t="s">
        <v>1604</v>
      </c>
      <c r="C61" s="100" t="s">
        <v>1605</v>
      </c>
      <c r="D61" s="102" t="s">
        <v>5</v>
      </c>
      <c r="E61" s="102" t="s">
        <v>298</v>
      </c>
      <c r="F61" s="45" t="s">
        <v>130</v>
      </c>
      <c r="G61" s="47">
        <f>(40/40)*100</f>
        <v>100</v>
      </c>
    </row>
    <row r="62" spans="1:7" ht="27">
      <c r="A62" s="101"/>
      <c r="B62" s="101"/>
      <c r="C62" s="101"/>
      <c r="D62" s="103"/>
      <c r="E62" s="103"/>
      <c r="F62" s="45" t="s">
        <v>131</v>
      </c>
      <c r="G62" s="47">
        <v>100</v>
      </c>
    </row>
    <row r="63" spans="1:7" ht="15.75" customHeight="1">
      <c r="A63" s="104" t="s">
        <v>119</v>
      </c>
      <c r="B63" s="104" t="s">
        <v>120</v>
      </c>
      <c r="C63" s="104" t="s">
        <v>65</v>
      </c>
      <c r="D63" s="104" t="s">
        <v>121</v>
      </c>
      <c r="E63" s="104" t="s">
        <v>122</v>
      </c>
      <c r="F63" s="45" t="s">
        <v>123</v>
      </c>
      <c r="G63" s="46">
        <v>100</v>
      </c>
    </row>
    <row r="64" spans="1:7" ht="15.75">
      <c r="A64" s="105"/>
      <c r="B64" s="105"/>
      <c r="C64" s="105"/>
      <c r="D64" s="105"/>
      <c r="E64" s="105"/>
      <c r="F64" s="45" t="s">
        <v>124</v>
      </c>
      <c r="G64" s="46">
        <v>100</v>
      </c>
    </row>
    <row r="65" spans="1:7" ht="15.75" customHeight="1">
      <c r="A65" s="100" t="s">
        <v>1402</v>
      </c>
      <c r="B65" s="100" t="s">
        <v>1606</v>
      </c>
      <c r="C65" s="100" t="s">
        <v>1607</v>
      </c>
      <c r="D65" s="102" t="s">
        <v>5</v>
      </c>
      <c r="E65" s="102" t="s">
        <v>167</v>
      </c>
      <c r="F65" s="45" t="s">
        <v>130</v>
      </c>
      <c r="G65" s="47">
        <f>(48/48)*100</f>
        <v>100</v>
      </c>
    </row>
    <row r="66" spans="1:7" ht="27">
      <c r="A66" s="101"/>
      <c r="B66" s="101"/>
      <c r="C66" s="101"/>
      <c r="D66" s="103"/>
      <c r="E66" s="103"/>
      <c r="F66" s="45" t="s">
        <v>131</v>
      </c>
      <c r="G66" s="47">
        <v>100</v>
      </c>
    </row>
    <row r="67" spans="1:7" ht="15.75" customHeight="1">
      <c r="A67" s="104" t="s">
        <v>119</v>
      </c>
      <c r="B67" s="104" t="s">
        <v>120</v>
      </c>
      <c r="C67" s="104" t="s">
        <v>65</v>
      </c>
      <c r="D67" s="104" t="s">
        <v>121</v>
      </c>
      <c r="E67" s="104" t="s">
        <v>122</v>
      </c>
      <c r="F67" s="45" t="s">
        <v>123</v>
      </c>
      <c r="G67" s="46" t="s">
        <v>1608</v>
      </c>
    </row>
    <row r="68" spans="1:7" ht="15.75">
      <c r="A68" s="105"/>
      <c r="B68" s="105"/>
      <c r="C68" s="105"/>
      <c r="D68" s="105"/>
      <c r="E68" s="105"/>
      <c r="F68" s="45" t="s">
        <v>124</v>
      </c>
      <c r="G68" s="46">
        <v>100</v>
      </c>
    </row>
    <row r="69" spans="1:7" ht="15.75" customHeight="1">
      <c r="A69" s="100" t="s">
        <v>1609</v>
      </c>
      <c r="B69" s="100" t="s">
        <v>1610</v>
      </c>
      <c r="C69" s="100" t="s">
        <v>1611</v>
      </c>
      <c r="D69" s="102" t="s">
        <v>5</v>
      </c>
      <c r="E69" s="102" t="s">
        <v>167</v>
      </c>
      <c r="F69" s="45" t="s">
        <v>130</v>
      </c>
      <c r="G69" s="47">
        <f>(152/152)*100</f>
        <v>100</v>
      </c>
    </row>
    <row r="70" spans="1:7" ht="27">
      <c r="A70" s="101"/>
      <c r="B70" s="101"/>
      <c r="C70" s="101"/>
      <c r="D70" s="103"/>
      <c r="E70" s="103"/>
      <c r="F70" s="45" t="s">
        <v>131</v>
      </c>
      <c r="G70" s="47">
        <v>100</v>
      </c>
    </row>
    <row r="71" spans="1:7" ht="15.75" customHeight="1">
      <c r="A71" s="104" t="s">
        <v>119</v>
      </c>
      <c r="B71" s="104" t="s">
        <v>120</v>
      </c>
      <c r="C71" s="104" t="s">
        <v>65</v>
      </c>
      <c r="D71" s="104" t="s">
        <v>121</v>
      </c>
      <c r="E71" s="104" t="s">
        <v>122</v>
      </c>
      <c r="F71" s="45" t="s">
        <v>123</v>
      </c>
      <c r="G71" s="46" t="s">
        <v>1608</v>
      </c>
    </row>
    <row r="72" spans="1:7" ht="15.75">
      <c r="A72" s="105"/>
      <c r="B72" s="105"/>
      <c r="C72" s="105"/>
      <c r="D72" s="105"/>
      <c r="E72" s="105"/>
      <c r="F72" s="45" t="s">
        <v>124</v>
      </c>
      <c r="G72" s="46">
        <v>100</v>
      </c>
    </row>
    <row r="73" spans="1:7" ht="15.75" customHeight="1">
      <c r="A73" s="100" t="s">
        <v>1612</v>
      </c>
      <c r="B73" s="100" t="s">
        <v>1613</v>
      </c>
      <c r="C73" s="100" t="s">
        <v>1614</v>
      </c>
      <c r="D73" s="102" t="s">
        <v>5</v>
      </c>
      <c r="E73" s="102" t="s">
        <v>167</v>
      </c>
      <c r="F73" s="45" t="s">
        <v>130</v>
      </c>
      <c r="G73" s="47">
        <f>(136/136)*100</f>
        <v>100</v>
      </c>
    </row>
    <row r="74" spans="1:7" ht="27">
      <c r="A74" s="101"/>
      <c r="B74" s="101"/>
      <c r="C74" s="101"/>
      <c r="D74" s="103"/>
      <c r="E74" s="103"/>
      <c r="F74" s="45" t="s">
        <v>131</v>
      </c>
      <c r="G74" s="47">
        <v>100</v>
      </c>
    </row>
    <row r="75" spans="1:7" ht="15.75" customHeight="1">
      <c r="A75" s="104" t="s">
        <v>119</v>
      </c>
      <c r="B75" s="104" t="s">
        <v>120</v>
      </c>
      <c r="C75" s="104" t="s">
        <v>65</v>
      </c>
      <c r="D75" s="104" t="s">
        <v>121</v>
      </c>
      <c r="E75" s="104" t="s">
        <v>122</v>
      </c>
      <c r="F75" s="45" t="s">
        <v>123</v>
      </c>
      <c r="G75" s="46">
        <v>80</v>
      </c>
    </row>
    <row r="76" spans="1:7" ht="15.75">
      <c r="A76" s="105"/>
      <c r="B76" s="105"/>
      <c r="C76" s="105"/>
      <c r="D76" s="105"/>
      <c r="E76" s="105"/>
      <c r="F76" s="45" t="s">
        <v>124</v>
      </c>
      <c r="G76" s="46">
        <v>90</v>
      </c>
    </row>
    <row r="77" spans="1:7" ht="15.75" customHeight="1">
      <c r="A77" s="100" t="s">
        <v>1615</v>
      </c>
      <c r="B77" s="100" t="s">
        <v>1616</v>
      </c>
      <c r="C77" s="100" t="s">
        <v>1617</v>
      </c>
      <c r="D77" s="102" t="s">
        <v>5</v>
      </c>
      <c r="E77" s="102" t="s">
        <v>150</v>
      </c>
      <c r="F77" s="45" t="s">
        <v>130</v>
      </c>
      <c r="G77" s="47">
        <f>(2/3)*100</f>
        <v>66.66666666666666</v>
      </c>
    </row>
    <row r="78" spans="1:7" ht="27">
      <c r="A78" s="101"/>
      <c r="B78" s="101"/>
      <c r="C78" s="101"/>
      <c r="D78" s="103"/>
      <c r="E78" s="103"/>
      <c r="F78" s="45" t="s">
        <v>131</v>
      </c>
      <c r="G78" s="47">
        <v>74.07407407407406</v>
      </c>
    </row>
    <row r="79" spans="1:7" ht="15.75" customHeight="1">
      <c r="A79" s="104" t="s">
        <v>119</v>
      </c>
      <c r="B79" s="104" t="s">
        <v>120</v>
      </c>
      <c r="C79" s="104" t="s">
        <v>65</v>
      </c>
      <c r="D79" s="104" t="s">
        <v>121</v>
      </c>
      <c r="E79" s="104" t="s">
        <v>122</v>
      </c>
      <c r="F79" s="45" t="s">
        <v>123</v>
      </c>
      <c r="G79" s="46">
        <v>100</v>
      </c>
    </row>
    <row r="80" spans="1:7" ht="15.75">
      <c r="A80" s="105"/>
      <c r="B80" s="105"/>
      <c r="C80" s="105"/>
      <c r="D80" s="105"/>
      <c r="E80" s="105"/>
      <c r="F80" s="45" t="s">
        <v>124</v>
      </c>
      <c r="G80" s="46">
        <v>100</v>
      </c>
    </row>
    <row r="81" spans="1:7" ht="15.75" customHeight="1">
      <c r="A81" s="100" t="s">
        <v>1618</v>
      </c>
      <c r="B81" s="100" t="s">
        <v>1619</v>
      </c>
      <c r="C81" s="100" t="s">
        <v>1620</v>
      </c>
      <c r="D81" s="102" t="s">
        <v>5</v>
      </c>
      <c r="E81" s="102" t="s">
        <v>364</v>
      </c>
      <c r="F81" s="45" t="s">
        <v>130</v>
      </c>
      <c r="G81" s="47">
        <f>(1/1)*100</f>
        <v>100</v>
      </c>
    </row>
    <row r="82" spans="1:7" ht="27">
      <c r="A82" s="101"/>
      <c r="B82" s="101"/>
      <c r="C82" s="101"/>
      <c r="D82" s="103"/>
      <c r="E82" s="103"/>
      <c r="F82" s="45" t="s">
        <v>131</v>
      </c>
      <c r="G82" s="47">
        <v>100</v>
      </c>
    </row>
    <row r="83" spans="1:7" ht="15.75" customHeight="1">
      <c r="A83" s="104" t="s">
        <v>119</v>
      </c>
      <c r="B83" s="104" t="s">
        <v>120</v>
      </c>
      <c r="C83" s="104" t="s">
        <v>65</v>
      </c>
      <c r="D83" s="104" t="s">
        <v>121</v>
      </c>
      <c r="E83" s="104" t="s">
        <v>122</v>
      </c>
      <c r="F83" s="45" t="s">
        <v>123</v>
      </c>
      <c r="G83" s="46">
        <v>90</v>
      </c>
    </row>
    <row r="84" spans="1:7" ht="15.75">
      <c r="A84" s="105"/>
      <c r="B84" s="105"/>
      <c r="C84" s="105"/>
      <c r="D84" s="105"/>
      <c r="E84" s="105"/>
      <c r="F84" s="45" t="s">
        <v>124</v>
      </c>
      <c r="G84" s="46">
        <v>100</v>
      </c>
    </row>
    <row r="85" spans="1:7" ht="15.75" customHeight="1">
      <c r="A85" s="100" t="s">
        <v>1621</v>
      </c>
      <c r="B85" s="100" t="s">
        <v>1622</v>
      </c>
      <c r="C85" s="100" t="s">
        <v>1623</v>
      </c>
      <c r="D85" s="102" t="s">
        <v>5</v>
      </c>
      <c r="E85" s="102" t="s">
        <v>150</v>
      </c>
      <c r="F85" s="45" t="s">
        <v>130</v>
      </c>
      <c r="G85" s="47">
        <f>(3/3)*100</f>
        <v>100</v>
      </c>
    </row>
    <row r="86" spans="1:7" ht="27">
      <c r="A86" s="101"/>
      <c r="B86" s="101"/>
      <c r="C86" s="101"/>
      <c r="D86" s="103"/>
      <c r="E86" s="103"/>
      <c r="F86" s="45" t="s">
        <v>131</v>
      </c>
      <c r="G86" s="47">
        <v>100</v>
      </c>
    </row>
    <row r="87" spans="1:7" ht="15.75" customHeight="1">
      <c r="A87" s="104" t="s">
        <v>119</v>
      </c>
      <c r="B87" s="104" t="s">
        <v>120</v>
      </c>
      <c r="C87" s="104" t="s">
        <v>65</v>
      </c>
      <c r="D87" s="104" t="s">
        <v>121</v>
      </c>
      <c r="E87" s="104" t="s">
        <v>122</v>
      </c>
      <c r="F87" s="45" t="s">
        <v>123</v>
      </c>
      <c r="G87" s="46">
        <v>90</v>
      </c>
    </row>
    <row r="88" spans="1:7" ht="15.75">
      <c r="A88" s="105"/>
      <c r="B88" s="105"/>
      <c r="C88" s="105"/>
      <c r="D88" s="105"/>
      <c r="E88" s="105"/>
      <c r="F88" s="45" t="s">
        <v>124</v>
      </c>
      <c r="G88" s="46">
        <v>100</v>
      </c>
    </row>
    <row r="89" spans="1:7" ht="15.75" customHeight="1">
      <c r="A89" s="100" t="s">
        <v>1624</v>
      </c>
      <c r="B89" s="100" t="s">
        <v>1625</v>
      </c>
      <c r="C89" s="100" t="s">
        <v>1626</v>
      </c>
      <c r="D89" s="102" t="s">
        <v>5</v>
      </c>
      <c r="E89" s="102" t="s">
        <v>167</v>
      </c>
      <c r="F89" s="45" t="s">
        <v>130</v>
      </c>
      <c r="G89" s="47">
        <f>(6/6)*100</f>
        <v>100</v>
      </c>
    </row>
    <row r="90" spans="1:7" ht="27">
      <c r="A90" s="101"/>
      <c r="B90" s="101"/>
      <c r="C90" s="101"/>
      <c r="D90" s="103"/>
      <c r="E90" s="103"/>
      <c r="F90" s="45" t="s">
        <v>131</v>
      </c>
      <c r="G90" s="47">
        <v>100</v>
      </c>
    </row>
    <row r="91" spans="1:7" ht="15.75" customHeight="1">
      <c r="A91" s="104" t="s">
        <v>119</v>
      </c>
      <c r="B91" s="104" t="s">
        <v>120</v>
      </c>
      <c r="C91" s="104" t="s">
        <v>65</v>
      </c>
      <c r="D91" s="104" t="s">
        <v>121</v>
      </c>
      <c r="E91" s="104" t="s">
        <v>122</v>
      </c>
      <c r="F91" s="45" t="s">
        <v>123</v>
      </c>
      <c r="G91" s="46">
        <v>90</v>
      </c>
    </row>
    <row r="92" spans="1:7" ht="15.75">
      <c r="A92" s="105"/>
      <c r="B92" s="105"/>
      <c r="C92" s="105"/>
      <c r="D92" s="105"/>
      <c r="E92" s="105"/>
      <c r="F92" s="45" t="s">
        <v>124</v>
      </c>
      <c r="G92" s="46">
        <v>90</v>
      </c>
    </row>
    <row r="93" spans="1:7" ht="15.75" customHeight="1">
      <c r="A93" s="100" t="s">
        <v>1627</v>
      </c>
      <c r="B93" s="100" t="s">
        <v>1628</v>
      </c>
      <c r="C93" s="100" t="s">
        <v>1629</v>
      </c>
      <c r="D93" s="102" t="s">
        <v>5</v>
      </c>
      <c r="E93" s="102" t="s">
        <v>167</v>
      </c>
      <c r="F93" s="45" t="s">
        <v>130</v>
      </c>
      <c r="G93" s="47">
        <f>(181/200)*100</f>
        <v>90.5</v>
      </c>
    </row>
    <row r="94" spans="1:7" ht="27">
      <c r="A94" s="101"/>
      <c r="B94" s="101"/>
      <c r="C94" s="101"/>
      <c r="D94" s="103"/>
      <c r="E94" s="103"/>
      <c r="F94" s="45" t="s">
        <v>131</v>
      </c>
      <c r="G94" s="47">
        <v>100.55555555555556</v>
      </c>
    </row>
    <row r="95" spans="1:7" ht="15.75" customHeight="1">
      <c r="A95" s="104" t="s">
        <v>119</v>
      </c>
      <c r="B95" s="104" t="s">
        <v>120</v>
      </c>
      <c r="C95" s="104" t="s">
        <v>65</v>
      </c>
      <c r="D95" s="104" t="s">
        <v>121</v>
      </c>
      <c r="E95" s="104" t="s">
        <v>122</v>
      </c>
      <c r="F95" s="45" t="s">
        <v>123</v>
      </c>
      <c r="G95" s="46">
        <v>80</v>
      </c>
    </row>
    <row r="96" spans="1:7" ht="15.75">
      <c r="A96" s="105"/>
      <c r="B96" s="105"/>
      <c r="C96" s="105"/>
      <c r="D96" s="105"/>
      <c r="E96" s="105"/>
      <c r="F96" s="45" t="s">
        <v>124</v>
      </c>
      <c r="G96" s="46">
        <v>80</v>
      </c>
    </row>
    <row r="97" spans="1:7" ht="15.75" customHeight="1">
      <c r="A97" s="100" t="s">
        <v>1630</v>
      </c>
      <c r="B97" s="100" t="s">
        <v>1631</v>
      </c>
      <c r="C97" s="100" t="s">
        <v>1632</v>
      </c>
      <c r="D97" s="102" t="s">
        <v>5</v>
      </c>
      <c r="E97" s="102" t="s">
        <v>142</v>
      </c>
      <c r="F97" s="45" t="s">
        <v>130</v>
      </c>
      <c r="G97" s="47">
        <f>(8/10)*100</f>
        <v>80</v>
      </c>
    </row>
    <row r="98" spans="1:7" ht="27">
      <c r="A98" s="101"/>
      <c r="B98" s="101"/>
      <c r="C98" s="101"/>
      <c r="D98" s="103"/>
      <c r="E98" s="103"/>
      <c r="F98" s="45" t="s">
        <v>131</v>
      </c>
      <c r="G98" s="47">
        <v>100</v>
      </c>
    </row>
    <row r="99" spans="1:7" ht="15.75" customHeight="1">
      <c r="A99" s="104" t="s">
        <v>119</v>
      </c>
      <c r="B99" s="104" t="s">
        <v>120</v>
      </c>
      <c r="C99" s="104" t="s">
        <v>65</v>
      </c>
      <c r="D99" s="104" t="s">
        <v>121</v>
      </c>
      <c r="E99" s="104" t="s">
        <v>122</v>
      </c>
      <c r="F99" s="45" t="s">
        <v>123</v>
      </c>
      <c r="G99" s="46">
        <v>80</v>
      </c>
    </row>
    <row r="100" spans="1:7" ht="15.75">
      <c r="A100" s="105"/>
      <c r="B100" s="105"/>
      <c r="C100" s="105"/>
      <c r="D100" s="105"/>
      <c r="E100" s="105"/>
      <c r="F100" s="45" t="s">
        <v>124</v>
      </c>
      <c r="G100" s="46">
        <v>80</v>
      </c>
    </row>
    <row r="101" spans="1:7" ht="15.75" customHeight="1">
      <c r="A101" s="100" t="s">
        <v>1411</v>
      </c>
      <c r="B101" s="100" t="s">
        <v>1633</v>
      </c>
      <c r="C101" s="100" t="s">
        <v>1634</v>
      </c>
      <c r="D101" s="102" t="s">
        <v>5</v>
      </c>
      <c r="E101" s="102" t="s">
        <v>167</v>
      </c>
      <c r="F101" s="45" t="s">
        <v>130</v>
      </c>
      <c r="G101" s="47" t="s">
        <v>668</v>
      </c>
    </row>
    <row r="102" spans="1:7" ht="27">
      <c r="A102" s="101"/>
      <c r="B102" s="101"/>
      <c r="C102" s="101"/>
      <c r="D102" s="103"/>
      <c r="E102" s="103"/>
      <c r="F102" s="45" t="s">
        <v>131</v>
      </c>
      <c r="G102" s="47" t="s">
        <v>668</v>
      </c>
    </row>
    <row r="103" spans="1:7" ht="15.75">
      <c r="A103" s="96" t="s">
        <v>192</v>
      </c>
      <c r="B103" s="96"/>
      <c r="C103" s="96"/>
      <c r="D103" s="96"/>
      <c r="E103" s="96"/>
      <c r="F103" s="96"/>
      <c r="G103" s="96"/>
    </row>
    <row r="104" spans="1:7" ht="15.75">
      <c r="A104" s="150" t="s">
        <v>1374</v>
      </c>
      <c r="B104" s="151"/>
      <c r="C104" s="151"/>
      <c r="D104" s="151"/>
      <c r="E104" s="151"/>
      <c r="F104" s="151"/>
      <c r="G104" s="152"/>
    </row>
    <row r="105" spans="1:7" ht="31.5" customHeight="1">
      <c r="A105" s="48" t="s">
        <v>193</v>
      </c>
      <c r="B105" s="156" t="s">
        <v>1367</v>
      </c>
      <c r="C105" s="157"/>
      <c r="D105" s="157"/>
      <c r="E105" s="157"/>
      <c r="F105" s="157"/>
      <c r="G105" s="158"/>
    </row>
    <row r="106" spans="1:7" ht="31.5" customHeight="1">
      <c r="A106" s="49" t="s">
        <v>6</v>
      </c>
      <c r="B106" s="98" t="s">
        <v>1334</v>
      </c>
      <c r="C106" s="98"/>
      <c r="D106" s="98"/>
      <c r="E106" s="98"/>
      <c r="F106" s="98"/>
      <c r="G106" s="98"/>
    </row>
    <row r="107" spans="1:7" ht="15.75">
      <c r="A107" s="49" t="s">
        <v>195</v>
      </c>
      <c r="B107" s="95" t="s">
        <v>259</v>
      </c>
      <c r="C107" s="95"/>
      <c r="D107" s="95"/>
      <c r="E107" s="95"/>
      <c r="F107" s="95"/>
      <c r="G107" s="95"/>
    </row>
    <row r="108" spans="1:7" ht="31.5" customHeight="1">
      <c r="A108" s="147" t="s">
        <v>1588</v>
      </c>
      <c r="B108" s="148"/>
      <c r="C108" s="148"/>
      <c r="D108" s="148"/>
      <c r="E108" s="148"/>
      <c r="F108" s="148"/>
      <c r="G108" s="149"/>
    </row>
    <row r="109" spans="1:7" ht="139.5" customHeight="1">
      <c r="A109" s="49" t="s">
        <v>193</v>
      </c>
      <c r="B109" s="94" t="s">
        <v>1635</v>
      </c>
      <c r="C109" s="94"/>
      <c r="D109" s="94"/>
      <c r="E109" s="94"/>
      <c r="F109" s="94"/>
      <c r="G109" s="94"/>
    </row>
    <row r="110" spans="1:7" ht="31.5" customHeight="1">
      <c r="A110" s="49" t="s">
        <v>6</v>
      </c>
      <c r="B110" s="94" t="s">
        <v>1636</v>
      </c>
      <c r="C110" s="94"/>
      <c r="D110" s="94"/>
      <c r="E110" s="94"/>
      <c r="F110" s="94"/>
      <c r="G110" s="94"/>
    </row>
    <row r="111" spans="1:7" ht="15.75">
      <c r="A111" s="49" t="s">
        <v>195</v>
      </c>
      <c r="B111" s="95" t="s">
        <v>259</v>
      </c>
      <c r="C111" s="95"/>
      <c r="D111" s="95"/>
      <c r="E111" s="95"/>
      <c r="F111" s="95"/>
      <c r="G111" s="95"/>
    </row>
    <row r="112" spans="1:7" ht="15.75">
      <c r="A112" s="147" t="s">
        <v>1591</v>
      </c>
      <c r="B112" s="148"/>
      <c r="C112" s="148"/>
      <c r="D112" s="148"/>
      <c r="E112" s="148"/>
      <c r="F112" s="148"/>
      <c r="G112" s="149"/>
    </row>
    <row r="113" spans="1:7" ht="76.5" customHeight="1">
      <c r="A113" s="49" t="s">
        <v>193</v>
      </c>
      <c r="B113" s="94" t="s">
        <v>1637</v>
      </c>
      <c r="C113" s="94"/>
      <c r="D113" s="94"/>
      <c r="E113" s="94"/>
      <c r="F113" s="94"/>
      <c r="G113" s="94"/>
    </row>
    <row r="114" spans="1:7" ht="47.25" customHeight="1">
      <c r="A114" s="49" t="s">
        <v>6</v>
      </c>
      <c r="B114" s="94" t="s">
        <v>1638</v>
      </c>
      <c r="C114" s="94"/>
      <c r="D114" s="94"/>
      <c r="E114" s="94"/>
      <c r="F114" s="94"/>
      <c r="G114" s="94"/>
    </row>
    <row r="115" spans="1:7" ht="15.75">
      <c r="A115" s="49" t="s">
        <v>195</v>
      </c>
      <c r="B115" s="95" t="s">
        <v>259</v>
      </c>
      <c r="C115" s="95"/>
      <c r="D115" s="95"/>
      <c r="E115" s="95"/>
      <c r="F115" s="95"/>
      <c r="G115" s="95"/>
    </row>
    <row r="116" spans="1:7" ht="15.75">
      <c r="A116" s="147" t="s">
        <v>1594</v>
      </c>
      <c r="B116" s="148"/>
      <c r="C116" s="148"/>
      <c r="D116" s="148"/>
      <c r="E116" s="148"/>
      <c r="F116" s="148"/>
      <c r="G116" s="149"/>
    </row>
    <row r="117" spans="1:7" ht="102" customHeight="1">
      <c r="A117" s="49" t="s">
        <v>193</v>
      </c>
      <c r="B117" s="94" t="s">
        <v>1639</v>
      </c>
      <c r="C117" s="94"/>
      <c r="D117" s="94"/>
      <c r="E117" s="94"/>
      <c r="F117" s="94"/>
      <c r="G117" s="94"/>
    </row>
    <row r="118" spans="1:7" ht="39" customHeight="1">
      <c r="A118" s="49" t="s">
        <v>6</v>
      </c>
      <c r="B118" s="94" t="s">
        <v>1640</v>
      </c>
      <c r="C118" s="94"/>
      <c r="D118" s="94"/>
      <c r="E118" s="94"/>
      <c r="F118" s="94"/>
      <c r="G118" s="94"/>
    </row>
    <row r="119" spans="1:7" ht="15.75">
      <c r="A119" s="49" t="s">
        <v>195</v>
      </c>
      <c r="B119" s="95"/>
      <c r="C119" s="95"/>
      <c r="D119" s="95"/>
      <c r="E119" s="95"/>
      <c r="F119" s="95"/>
      <c r="G119" s="95"/>
    </row>
    <row r="120" spans="1:7" ht="15.75">
      <c r="A120" s="147" t="s">
        <v>1597</v>
      </c>
      <c r="B120" s="148"/>
      <c r="C120" s="148"/>
      <c r="D120" s="148"/>
      <c r="E120" s="148"/>
      <c r="F120" s="148"/>
      <c r="G120" s="149"/>
    </row>
    <row r="121" spans="1:7" ht="52.5" customHeight="1">
      <c r="A121" s="49" t="s">
        <v>193</v>
      </c>
      <c r="B121" s="94" t="s">
        <v>1641</v>
      </c>
      <c r="C121" s="94"/>
      <c r="D121" s="94"/>
      <c r="E121" s="94"/>
      <c r="F121" s="94"/>
      <c r="G121" s="94"/>
    </row>
    <row r="122" spans="1:7" ht="15.75">
      <c r="A122" s="49" t="s">
        <v>6</v>
      </c>
      <c r="B122" s="94" t="s">
        <v>1642</v>
      </c>
      <c r="C122" s="94"/>
      <c r="D122" s="94"/>
      <c r="E122" s="94"/>
      <c r="F122" s="94"/>
      <c r="G122" s="94"/>
    </row>
    <row r="123" spans="1:7" ht="15.75">
      <c r="A123" s="49" t="s">
        <v>195</v>
      </c>
      <c r="B123" s="95"/>
      <c r="C123" s="95"/>
      <c r="D123" s="95"/>
      <c r="E123" s="95"/>
      <c r="F123" s="95"/>
      <c r="G123" s="95"/>
    </row>
    <row r="124" spans="1:7" ht="15.75">
      <c r="A124" s="147" t="s">
        <v>1600</v>
      </c>
      <c r="B124" s="148"/>
      <c r="C124" s="148"/>
      <c r="D124" s="148"/>
      <c r="E124" s="148"/>
      <c r="F124" s="148"/>
      <c r="G124" s="149"/>
    </row>
    <row r="125" spans="1:7" ht="77.25" customHeight="1">
      <c r="A125" s="49" t="s">
        <v>193</v>
      </c>
      <c r="B125" s="153" t="s">
        <v>1643</v>
      </c>
      <c r="C125" s="154"/>
      <c r="D125" s="154"/>
      <c r="E125" s="154"/>
      <c r="F125" s="154"/>
      <c r="G125" s="155"/>
    </row>
    <row r="126" spans="1:7" ht="32.25" customHeight="1">
      <c r="A126" s="49" t="s">
        <v>6</v>
      </c>
      <c r="B126" s="94" t="s">
        <v>1644</v>
      </c>
      <c r="C126" s="94"/>
      <c r="D126" s="94"/>
      <c r="E126" s="94"/>
      <c r="F126" s="94"/>
      <c r="G126" s="94"/>
    </row>
    <row r="127" spans="1:7" ht="15.75">
      <c r="A127" s="49" t="s">
        <v>195</v>
      </c>
      <c r="B127" s="95"/>
      <c r="C127" s="95"/>
      <c r="D127" s="95"/>
      <c r="E127" s="95"/>
      <c r="F127" s="95"/>
      <c r="G127" s="95"/>
    </row>
    <row r="128" spans="1:7" ht="15.75">
      <c r="A128" s="147" t="s">
        <v>1603</v>
      </c>
      <c r="B128" s="148"/>
      <c r="C128" s="148"/>
      <c r="D128" s="148"/>
      <c r="E128" s="148"/>
      <c r="F128" s="148"/>
      <c r="G128" s="149"/>
    </row>
    <row r="129" spans="1:7" ht="31.5" customHeight="1">
      <c r="A129" s="49" t="s">
        <v>193</v>
      </c>
      <c r="B129" s="153" t="s">
        <v>1567</v>
      </c>
      <c r="C129" s="154"/>
      <c r="D129" s="154"/>
      <c r="E129" s="154"/>
      <c r="F129" s="154"/>
      <c r="G129" s="155"/>
    </row>
    <row r="130" spans="1:7" ht="15.75">
      <c r="A130" s="49" t="s">
        <v>6</v>
      </c>
      <c r="B130" s="94" t="s">
        <v>1645</v>
      </c>
      <c r="C130" s="94"/>
      <c r="D130" s="94"/>
      <c r="E130" s="94"/>
      <c r="F130" s="94"/>
      <c r="G130" s="94"/>
    </row>
    <row r="131" spans="1:7" ht="15.75">
      <c r="A131" s="49" t="s">
        <v>195</v>
      </c>
      <c r="B131" s="95" t="s">
        <v>259</v>
      </c>
      <c r="C131" s="95"/>
      <c r="D131" s="95"/>
      <c r="E131" s="95"/>
      <c r="F131" s="95"/>
      <c r="G131" s="95"/>
    </row>
    <row r="132" spans="1:7" ht="15.75">
      <c r="A132" s="147" t="s">
        <v>1402</v>
      </c>
      <c r="B132" s="148"/>
      <c r="C132" s="148"/>
      <c r="D132" s="148"/>
      <c r="E132" s="148"/>
      <c r="F132" s="148"/>
      <c r="G132" s="149"/>
    </row>
    <row r="133" spans="1:7" ht="48.75" customHeight="1">
      <c r="A133" s="49" t="s">
        <v>193</v>
      </c>
      <c r="B133" s="94" t="s">
        <v>1646</v>
      </c>
      <c r="C133" s="94"/>
      <c r="D133" s="94"/>
      <c r="E133" s="94"/>
      <c r="F133" s="94"/>
      <c r="G133" s="94"/>
    </row>
    <row r="134" spans="1:7" ht="31.5" customHeight="1">
      <c r="A134" s="49" t="s">
        <v>6</v>
      </c>
      <c r="B134" s="94" t="s">
        <v>1647</v>
      </c>
      <c r="C134" s="94"/>
      <c r="D134" s="94"/>
      <c r="E134" s="94"/>
      <c r="F134" s="94"/>
      <c r="G134" s="94"/>
    </row>
    <row r="135" spans="1:7" ht="15.75">
      <c r="A135" s="49" t="s">
        <v>195</v>
      </c>
      <c r="B135" s="95" t="s">
        <v>259</v>
      </c>
      <c r="C135" s="95"/>
      <c r="D135" s="95"/>
      <c r="E135" s="95"/>
      <c r="F135" s="95"/>
      <c r="G135" s="95"/>
    </row>
    <row r="136" spans="1:7" ht="15.75">
      <c r="A136" s="147" t="s">
        <v>1609</v>
      </c>
      <c r="B136" s="148"/>
      <c r="C136" s="148"/>
      <c r="D136" s="148"/>
      <c r="E136" s="148"/>
      <c r="F136" s="148"/>
      <c r="G136" s="149"/>
    </row>
    <row r="137" spans="1:7" ht="42.75" customHeight="1">
      <c r="A137" s="49" t="s">
        <v>193</v>
      </c>
      <c r="B137" s="153" t="s">
        <v>1648</v>
      </c>
      <c r="C137" s="154"/>
      <c r="D137" s="154"/>
      <c r="E137" s="154"/>
      <c r="F137" s="154"/>
      <c r="G137" s="155"/>
    </row>
    <row r="138" spans="1:7" ht="42" customHeight="1">
      <c r="A138" s="49" t="s">
        <v>6</v>
      </c>
      <c r="B138" s="94" t="s">
        <v>1649</v>
      </c>
      <c r="C138" s="94"/>
      <c r="D138" s="94"/>
      <c r="E138" s="94"/>
      <c r="F138" s="94"/>
      <c r="G138" s="94"/>
    </row>
    <row r="139" spans="1:7" ht="15.75">
      <c r="A139" s="49" t="s">
        <v>195</v>
      </c>
      <c r="B139" s="95" t="s">
        <v>259</v>
      </c>
      <c r="C139" s="95"/>
      <c r="D139" s="95"/>
      <c r="E139" s="95"/>
      <c r="F139" s="95"/>
      <c r="G139" s="95"/>
    </row>
    <row r="140" spans="1:7" ht="15.75">
      <c r="A140" s="147" t="s">
        <v>1612</v>
      </c>
      <c r="B140" s="148"/>
      <c r="C140" s="148"/>
      <c r="D140" s="148"/>
      <c r="E140" s="148"/>
      <c r="F140" s="148"/>
      <c r="G140" s="149"/>
    </row>
    <row r="141" spans="1:7" ht="35.25" customHeight="1">
      <c r="A141" s="49" t="s">
        <v>193</v>
      </c>
      <c r="B141" s="153" t="s">
        <v>1650</v>
      </c>
      <c r="C141" s="154"/>
      <c r="D141" s="154"/>
      <c r="E141" s="154"/>
      <c r="F141" s="154"/>
      <c r="G141" s="155"/>
    </row>
    <row r="142" spans="1:7" ht="68.25" customHeight="1">
      <c r="A142" s="49" t="s">
        <v>6</v>
      </c>
      <c r="B142" s="94" t="s">
        <v>1651</v>
      </c>
      <c r="C142" s="94"/>
      <c r="D142" s="94"/>
      <c r="E142" s="94"/>
      <c r="F142" s="94"/>
      <c r="G142" s="94"/>
    </row>
    <row r="143" spans="1:7" ht="15.75">
      <c r="A143" s="49" t="s">
        <v>195</v>
      </c>
      <c r="B143" s="95" t="s">
        <v>259</v>
      </c>
      <c r="C143" s="95"/>
      <c r="D143" s="95"/>
      <c r="E143" s="95"/>
      <c r="F143" s="95"/>
      <c r="G143" s="95"/>
    </row>
    <row r="144" spans="1:7" ht="15.75">
      <c r="A144" s="147" t="s">
        <v>1615</v>
      </c>
      <c r="B144" s="148"/>
      <c r="C144" s="148"/>
      <c r="D144" s="148"/>
      <c r="E144" s="148"/>
      <c r="F144" s="148"/>
      <c r="G144" s="149"/>
    </row>
    <row r="145" spans="1:7" ht="108" customHeight="1">
      <c r="A145" s="49" t="s">
        <v>193</v>
      </c>
      <c r="B145" s="153" t="s">
        <v>1652</v>
      </c>
      <c r="C145" s="154"/>
      <c r="D145" s="154"/>
      <c r="E145" s="154"/>
      <c r="F145" s="154"/>
      <c r="G145" s="155"/>
    </row>
    <row r="146" spans="1:7" ht="57.75" customHeight="1">
      <c r="A146" s="49" t="s">
        <v>6</v>
      </c>
      <c r="B146" s="94" t="s">
        <v>1653</v>
      </c>
      <c r="C146" s="94"/>
      <c r="D146" s="94"/>
      <c r="E146" s="94"/>
      <c r="F146" s="94"/>
      <c r="G146" s="94"/>
    </row>
    <row r="147" spans="1:7" ht="15.75">
      <c r="A147" s="49" t="s">
        <v>195</v>
      </c>
      <c r="B147" s="95" t="s">
        <v>259</v>
      </c>
      <c r="C147" s="95"/>
      <c r="D147" s="95"/>
      <c r="E147" s="95"/>
      <c r="F147" s="95"/>
      <c r="G147" s="95"/>
    </row>
    <row r="148" spans="1:7" ht="15.75">
      <c r="A148" s="147" t="s">
        <v>1618</v>
      </c>
      <c r="B148" s="148"/>
      <c r="C148" s="148"/>
      <c r="D148" s="148"/>
      <c r="E148" s="148"/>
      <c r="F148" s="148"/>
      <c r="G148" s="149"/>
    </row>
    <row r="149" spans="1:7" ht="32.25" customHeight="1">
      <c r="A149" s="49" t="s">
        <v>193</v>
      </c>
      <c r="B149" s="94" t="s">
        <v>1654</v>
      </c>
      <c r="C149" s="94"/>
      <c r="D149" s="94"/>
      <c r="E149" s="94"/>
      <c r="F149" s="94"/>
      <c r="G149" s="94"/>
    </row>
    <row r="150" spans="1:7" ht="41.25" customHeight="1">
      <c r="A150" s="49" t="s">
        <v>6</v>
      </c>
      <c r="B150" s="94" t="s">
        <v>1655</v>
      </c>
      <c r="C150" s="94"/>
      <c r="D150" s="94"/>
      <c r="E150" s="94"/>
      <c r="F150" s="94"/>
      <c r="G150" s="94"/>
    </row>
    <row r="151" spans="1:7" ht="15.75">
      <c r="A151" s="49" t="s">
        <v>195</v>
      </c>
      <c r="B151" s="95" t="s">
        <v>259</v>
      </c>
      <c r="C151" s="95"/>
      <c r="D151" s="95"/>
      <c r="E151" s="95"/>
      <c r="F151" s="95"/>
      <c r="G151" s="95"/>
    </row>
    <row r="152" spans="1:7" ht="15.75">
      <c r="A152" s="147" t="s">
        <v>1621</v>
      </c>
      <c r="B152" s="148"/>
      <c r="C152" s="148"/>
      <c r="D152" s="148"/>
      <c r="E152" s="148"/>
      <c r="F152" s="148"/>
      <c r="G152" s="149"/>
    </row>
    <row r="153" spans="1:7" ht="31.5" customHeight="1">
      <c r="A153" s="49" t="s">
        <v>193</v>
      </c>
      <c r="B153" s="94" t="s">
        <v>1656</v>
      </c>
      <c r="C153" s="94"/>
      <c r="D153" s="94"/>
      <c r="E153" s="94"/>
      <c r="F153" s="94"/>
      <c r="G153" s="94"/>
    </row>
    <row r="154" spans="1:7" ht="42.75" customHeight="1">
      <c r="A154" s="49" t="s">
        <v>6</v>
      </c>
      <c r="B154" s="94" t="s">
        <v>1657</v>
      </c>
      <c r="C154" s="94"/>
      <c r="D154" s="94"/>
      <c r="E154" s="94"/>
      <c r="F154" s="94"/>
      <c r="G154" s="94"/>
    </row>
    <row r="155" spans="1:7" ht="15.75">
      <c r="A155" s="49" t="s">
        <v>195</v>
      </c>
      <c r="B155" s="95" t="s">
        <v>259</v>
      </c>
      <c r="C155" s="95"/>
      <c r="D155" s="95"/>
      <c r="E155" s="95"/>
      <c r="F155" s="95"/>
      <c r="G155" s="95"/>
    </row>
    <row r="156" spans="1:7" ht="15.75">
      <c r="A156" s="147" t="s">
        <v>1624</v>
      </c>
      <c r="B156" s="148"/>
      <c r="C156" s="148"/>
      <c r="D156" s="148"/>
      <c r="E156" s="148"/>
      <c r="F156" s="148"/>
      <c r="G156" s="149"/>
    </row>
    <row r="157" spans="1:7" ht="40.5" customHeight="1">
      <c r="A157" s="49" t="s">
        <v>193</v>
      </c>
      <c r="B157" s="94" t="s">
        <v>1658</v>
      </c>
      <c r="C157" s="94"/>
      <c r="D157" s="94"/>
      <c r="E157" s="94"/>
      <c r="F157" s="94"/>
      <c r="G157" s="94"/>
    </row>
    <row r="158" spans="1:7" ht="55.5" customHeight="1">
      <c r="A158" s="49" t="s">
        <v>6</v>
      </c>
      <c r="B158" s="94" t="s">
        <v>1659</v>
      </c>
      <c r="C158" s="94"/>
      <c r="D158" s="94"/>
      <c r="E158" s="94"/>
      <c r="F158" s="94"/>
      <c r="G158" s="94"/>
    </row>
    <row r="159" spans="1:7" ht="15.75">
      <c r="A159" s="49" t="s">
        <v>195</v>
      </c>
      <c r="B159" s="95" t="s">
        <v>259</v>
      </c>
      <c r="C159" s="95"/>
      <c r="D159" s="95"/>
      <c r="E159" s="95"/>
      <c r="F159" s="95"/>
      <c r="G159" s="95"/>
    </row>
    <row r="160" spans="1:7" ht="15.75">
      <c r="A160" s="147" t="s">
        <v>1627</v>
      </c>
      <c r="B160" s="148"/>
      <c r="C160" s="148"/>
      <c r="D160" s="148"/>
      <c r="E160" s="148"/>
      <c r="F160" s="148"/>
      <c r="G160" s="149"/>
    </row>
    <row r="161" spans="1:7" ht="42.75" customHeight="1">
      <c r="A161" s="49" t="s">
        <v>193</v>
      </c>
      <c r="B161" s="94" t="s">
        <v>1660</v>
      </c>
      <c r="C161" s="94"/>
      <c r="D161" s="94"/>
      <c r="E161" s="94"/>
      <c r="F161" s="94"/>
      <c r="G161" s="94"/>
    </row>
    <row r="162" spans="1:7" ht="42.75" customHeight="1">
      <c r="A162" s="49" t="s">
        <v>6</v>
      </c>
      <c r="B162" s="94" t="s">
        <v>1661</v>
      </c>
      <c r="C162" s="94"/>
      <c r="D162" s="94"/>
      <c r="E162" s="94"/>
      <c r="F162" s="94"/>
      <c r="G162" s="94"/>
    </row>
    <row r="163" spans="1:7" ht="15.75">
      <c r="A163" s="49" t="s">
        <v>195</v>
      </c>
      <c r="B163" s="95" t="s">
        <v>259</v>
      </c>
      <c r="C163" s="95"/>
      <c r="D163" s="95"/>
      <c r="E163" s="95"/>
      <c r="F163" s="95"/>
      <c r="G163" s="95"/>
    </row>
    <row r="164" spans="1:7" ht="15.75">
      <c r="A164" s="147" t="s">
        <v>1630</v>
      </c>
      <c r="B164" s="148"/>
      <c r="C164" s="148"/>
      <c r="D164" s="148"/>
      <c r="E164" s="148"/>
      <c r="F164" s="148"/>
      <c r="G164" s="149"/>
    </row>
    <row r="165" spans="1:7" ht="57" customHeight="1">
      <c r="A165" s="49" t="s">
        <v>193</v>
      </c>
      <c r="B165" s="94" t="s">
        <v>1662</v>
      </c>
      <c r="C165" s="94"/>
      <c r="D165" s="94"/>
      <c r="E165" s="94"/>
      <c r="F165" s="94"/>
      <c r="G165" s="94"/>
    </row>
    <row r="166" spans="1:7" ht="28.5" customHeight="1">
      <c r="A166" s="49" t="s">
        <v>6</v>
      </c>
      <c r="B166" s="94" t="s">
        <v>1663</v>
      </c>
      <c r="C166" s="94"/>
      <c r="D166" s="94"/>
      <c r="E166" s="94"/>
      <c r="F166" s="94"/>
      <c r="G166" s="94"/>
    </row>
    <row r="167" spans="1:7" ht="15.75">
      <c r="A167" s="49" t="s">
        <v>195</v>
      </c>
      <c r="B167" s="95" t="s">
        <v>259</v>
      </c>
      <c r="C167" s="95"/>
      <c r="D167" s="95"/>
      <c r="E167" s="95"/>
      <c r="F167" s="95"/>
      <c r="G167" s="95"/>
    </row>
    <row r="168" spans="1:7" ht="15.75">
      <c r="A168" s="147" t="s">
        <v>1411</v>
      </c>
      <c r="B168" s="148"/>
      <c r="C168" s="148"/>
      <c r="D168" s="148"/>
      <c r="E168" s="148"/>
      <c r="F168" s="148"/>
      <c r="G168" s="149"/>
    </row>
    <row r="169" spans="1:7" ht="34.5" customHeight="1">
      <c r="A169" s="49" t="s">
        <v>193</v>
      </c>
      <c r="B169" s="94" t="s">
        <v>1664</v>
      </c>
      <c r="C169" s="94"/>
      <c r="D169" s="94"/>
      <c r="E169" s="94"/>
      <c r="F169" s="94"/>
      <c r="G169" s="94"/>
    </row>
    <row r="170" spans="1:7" ht="31.5" customHeight="1">
      <c r="A170" s="49" t="s">
        <v>6</v>
      </c>
      <c r="B170" s="94" t="s">
        <v>1665</v>
      </c>
      <c r="C170" s="94"/>
      <c r="D170" s="94"/>
      <c r="E170" s="94"/>
      <c r="F170" s="94"/>
      <c r="G170" s="94"/>
    </row>
    <row r="171" spans="1:7" ht="15.75">
      <c r="A171" s="49" t="s">
        <v>195</v>
      </c>
      <c r="B171" s="95" t="s">
        <v>259</v>
      </c>
      <c r="C171" s="95"/>
      <c r="D171" s="95"/>
      <c r="E171" s="95"/>
      <c r="F171" s="95"/>
      <c r="G171" s="95"/>
    </row>
    <row r="172" spans="1:7" ht="15.75">
      <c r="A172" s="146"/>
      <c r="B172" s="146"/>
      <c r="C172" s="146"/>
      <c r="D172" s="146"/>
      <c r="E172" s="146"/>
      <c r="F172" s="146"/>
      <c r="G172" s="146"/>
    </row>
    <row r="173" spans="1:7" ht="15.75">
      <c r="A173" s="96" t="s">
        <v>226</v>
      </c>
      <c r="B173" s="96"/>
      <c r="C173" s="96"/>
      <c r="D173" s="96"/>
      <c r="E173" s="96"/>
      <c r="F173" s="96"/>
      <c r="G173" s="96"/>
    </row>
    <row r="174" spans="1:7" ht="15.75">
      <c r="A174" s="147" t="s">
        <v>1374</v>
      </c>
      <c r="B174" s="148"/>
      <c r="C174" s="148"/>
      <c r="D174" s="148"/>
      <c r="E174" s="148"/>
      <c r="F174" s="148"/>
      <c r="G174" s="149"/>
    </row>
    <row r="175" spans="1:7" ht="15.75">
      <c r="A175" s="49" t="s">
        <v>227</v>
      </c>
      <c r="B175" s="178"/>
      <c r="C175" s="179"/>
      <c r="D175" s="179"/>
      <c r="E175" s="179"/>
      <c r="F175" s="179"/>
      <c r="G175" s="180"/>
    </row>
    <row r="176" spans="1:7" ht="31.5" customHeight="1">
      <c r="A176" s="147" t="s">
        <v>1588</v>
      </c>
      <c r="B176" s="148"/>
      <c r="C176" s="148"/>
      <c r="D176" s="148"/>
      <c r="E176" s="148"/>
      <c r="F176" s="148"/>
      <c r="G176" s="149"/>
    </row>
    <row r="177" spans="1:7" ht="15.75">
      <c r="A177" s="49" t="s">
        <v>227</v>
      </c>
      <c r="B177" s="178"/>
      <c r="C177" s="179"/>
      <c r="D177" s="179"/>
      <c r="E177" s="179"/>
      <c r="F177" s="179"/>
      <c r="G177" s="180"/>
    </row>
    <row r="178" spans="1:7" ht="15.75">
      <c r="A178" s="147" t="s">
        <v>1591</v>
      </c>
      <c r="B178" s="148"/>
      <c r="C178" s="148"/>
      <c r="D178" s="148"/>
      <c r="E178" s="148"/>
      <c r="F178" s="148"/>
      <c r="G178" s="149"/>
    </row>
    <row r="179" spans="1:7" ht="15.75">
      <c r="A179" s="49" t="s">
        <v>227</v>
      </c>
      <c r="B179" s="178"/>
      <c r="C179" s="179"/>
      <c r="D179" s="179"/>
      <c r="E179" s="179"/>
      <c r="F179" s="179"/>
      <c r="G179" s="180"/>
    </row>
    <row r="180" spans="1:7" ht="15.75">
      <c r="A180" s="147" t="s">
        <v>1594</v>
      </c>
      <c r="B180" s="148"/>
      <c r="C180" s="148"/>
      <c r="D180" s="148"/>
      <c r="E180" s="148"/>
      <c r="F180" s="148"/>
      <c r="G180" s="149"/>
    </row>
    <row r="181" spans="1:7" ht="15.75">
      <c r="A181" s="49" t="s">
        <v>227</v>
      </c>
      <c r="B181" s="178"/>
      <c r="C181" s="179"/>
      <c r="D181" s="179"/>
      <c r="E181" s="179"/>
      <c r="F181" s="179"/>
      <c r="G181" s="180"/>
    </row>
    <row r="182" spans="1:7" ht="15.75">
      <c r="A182" s="147" t="s">
        <v>1597</v>
      </c>
      <c r="B182" s="148"/>
      <c r="C182" s="148"/>
      <c r="D182" s="148"/>
      <c r="E182" s="148"/>
      <c r="F182" s="148"/>
      <c r="G182" s="149"/>
    </row>
    <row r="183" spans="1:7" ht="15.75">
      <c r="A183" s="49" t="s">
        <v>227</v>
      </c>
      <c r="B183" s="178"/>
      <c r="C183" s="179"/>
      <c r="D183" s="179"/>
      <c r="E183" s="179"/>
      <c r="F183" s="179"/>
      <c r="G183" s="180"/>
    </row>
    <row r="184" spans="1:7" ht="15.75">
      <c r="A184" s="147" t="s">
        <v>1600</v>
      </c>
      <c r="B184" s="148"/>
      <c r="C184" s="148"/>
      <c r="D184" s="148"/>
      <c r="E184" s="148"/>
      <c r="F184" s="148"/>
      <c r="G184" s="149"/>
    </row>
    <row r="185" spans="1:7" ht="15.75">
      <c r="A185" s="49" t="s">
        <v>227</v>
      </c>
      <c r="B185" s="178"/>
      <c r="C185" s="179"/>
      <c r="D185" s="179"/>
      <c r="E185" s="179"/>
      <c r="F185" s="179"/>
      <c r="G185" s="180"/>
    </row>
    <row r="186" spans="1:7" ht="15.75">
      <c r="A186" s="147" t="s">
        <v>1603</v>
      </c>
      <c r="B186" s="148"/>
      <c r="C186" s="148"/>
      <c r="D186" s="148"/>
      <c r="E186" s="148"/>
      <c r="F186" s="148"/>
      <c r="G186" s="149"/>
    </row>
    <row r="187" spans="1:7" ht="15.75">
      <c r="A187" s="49" t="s">
        <v>227</v>
      </c>
      <c r="B187" s="178"/>
      <c r="C187" s="179"/>
      <c r="D187" s="179"/>
      <c r="E187" s="179"/>
      <c r="F187" s="179"/>
      <c r="G187" s="180"/>
    </row>
    <row r="188" spans="1:7" ht="15.75">
      <c r="A188" s="147" t="s">
        <v>1402</v>
      </c>
      <c r="B188" s="148"/>
      <c r="C188" s="148"/>
      <c r="D188" s="148"/>
      <c r="E188" s="148"/>
      <c r="F188" s="148"/>
      <c r="G188" s="149"/>
    </row>
    <row r="189" spans="1:7" ht="15.75">
      <c r="A189" s="49" t="s">
        <v>227</v>
      </c>
      <c r="B189" s="178"/>
      <c r="C189" s="179"/>
      <c r="D189" s="179"/>
      <c r="E189" s="179"/>
      <c r="F189" s="179"/>
      <c r="G189" s="180"/>
    </row>
    <row r="190" spans="1:7" ht="15.75">
      <c r="A190" s="147" t="s">
        <v>1609</v>
      </c>
      <c r="B190" s="148"/>
      <c r="C190" s="148"/>
      <c r="D190" s="148"/>
      <c r="E190" s="148"/>
      <c r="F190" s="148"/>
      <c r="G190" s="149"/>
    </row>
    <row r="191" spans="1:7" ht="31.5" customHeight="1">
      <c r="A191" s="49" t="s">
        <v>227</v>
      </c>
      <c r="B191" s="178" t="s">
        <v>1666</v>
      </c>
      <c r="C191" s="179"/>
      <c r="D191" s="179"/>
      <c r="E191" s="179"/>
      <c r="F191" s="179"/>
      <c r="G191" s="180"/>
    </row>
    <row r="192" spans="1:7" ht="15.75">
      <c r="A192" s="147" t="s">
        <v>1612</v>
      </c>
      <c r="B192" s="148"/>
      <c r="C192" s="148"/>
      <c r="D192" s="148"/>
      <c r="E192" s="148"/>
      <c r="F192" s="148"/>
      <c r="G192" s="149"/>
    </row>
    <row r="193" spans="1:7" ht="31.5" customHeight="1">
      <c r="A193" s="49" t="s">
        <v>227</v>
      </c>
      <c r="B193" s="178" t="s">
        <v>1666</v>
      </c>
      <c r="C193" s="179"/>
      <c r="D193" s="179"/>
      <c r="E193" s="179"/>
      <c r="F193" s="179"/>
      <c r="G193" s="180"/>
    </row>
    <row r="194" spans="1:7" ht="15.75">
      <c r="A194" s="147" t="s">
        <v>1615</v>
      </c>
      <c r="B194" s="148"/>
      <c r="C194" s="148"/>
      <c r="D194" s="148"/>
      <c r="E194" s="148"/>
      <c r="F194" s="148"/>
      <c r="G194" s="149"/>
    </row>
    <row r="195" spans="1:7" ht="15.75">
      <c r="A195" s="49" t="s">
        <v>227</v>
      </c>
      <c r="B195" s="178" t="s">
        <v>1667</v>
      </c>
      <c r="C195" s="179"/>
      <c r="D195" s="179"/>
      <c r="E195" s="179"/>
      <c r="F195" s="179"/>
      <c r="G195" s="180"/>
    </row>
    <row r="196" spans="1:7" ht="15.75">
      <c r="A196" s="147" t="s">
        <v>1618</v>
      </c>
      <c r="B196" s="148"/>
      <c r="C196" s="148"/>
      <c r="D196" s="148"/>
      <c r="E196" s="148"/>
      <c r="F196" s="148"/>
      <c r="G196" s="149"/>
    </row>
    <row r="197" spans="1:7" ht="15.75">
      <c r="A197" s="49" t="s">
        <v>227</v>
      </c>
      <c r="B197" s="178"/>
      <c r="C197" s="179"/>
      <c r="D197" s="179"/>
      <c r="E197" s="179"/>
      <c r="F197" s="179"/>
      <c r="G197" s="180"/>
    </row>
    <row r="198" spans="1:7" ht="15.75">
      <c r="A198" s="147" t="s">
        <v>1621</v>
      </c>
      <c r="B198" s="148"/>
      <c r="C198" s="148"/>
      <c r="D198" s="148"/>
      <c r="E198" s="148"/>
      <c r="F198" s="148"/>
      <c r="G198" s="149"/>
    </row>
    <row r="199" spans="1:7" ht="15.75">
      <c r="A199" s="49" t="s">
        <v>227</v>
      </c>
      <c r="B199" s="178" t="s">
        <v>1668</v>
      </c>
      <c r="C199" s="179"/>
      <c r="D199" s="179"/>
      <c r="E199" s="179"/>
      <c r="F199" s="179"/>
      <c r="G199" s="180"/>
    </row>
    <row r="200" spans="1:7" ht="15.75">
      <c r="A200" s="147" t="s">
        <v>1624</v>
      </c>
      <c r="B200" s="148"/>
      <c r="C200" s="148"/>
      <c r="D200" s="148"/>
      <c r="E200" s="148"/>
      <c r="F200" s="148"/>
      <c r="G200" s="149"/>
    </row>
    <row r="201" spans="1:7" ht="15.75">
      <c r="A201" s="49" t="s">
        <v>227</v>
      </c>
      <c r="B201" s="178" t="s">
        <v>1669</v>
      </c>
      <c r="C201" s="179"/>
      <c r="D201" s="179"/>
      <c r="E201" s="179"/>
      <c r="F201" s="179"/>
      <c r="G201" s="180"/>
    </row>
    <row r="202" spans="1:7" ht="15.75">
      <c r="A202" s="147" t="s">
        <v>1627</v>
      </c>
      <c r="B202" s="148"/>
      <c r="C202" s="148"/>
      <c r="D202" s="148"/>
      <c r="E202" s="148"/>
      <c r="F202" s="148"/>
      <c r="G202" s="149"/>
    </row>
    <row r="203" spans="1:7" ht="15.75">
      <c r="A203" s="49" t="s">
        <v>227</v>
      </c>
      <c r="B203" s="178"/>
      <c r="C203" s="179"/>
      <c r="D203" s="179"/>
      <c r="E203" s="179"/>
      <c r="F203" s="179"/>
      <c r="G203" s="180"/>
    </row>
    <row r="204" spans="1:7" ht="15.75">
      <c r="A204" s="147" t="s">
        <v>1630</v>
      </c>
      <c r="B204" s="148"/>
      <c r="C204" s="148"/>
      <c r="D204" s="148"/>
      <c r="E204" s="148"/>
      <c r="F204" s="148"/>
      <c r="G204" s="149"/>
    </row>
    <row r="205" spans="1:7" ht="15.75">
      <c r="A205" s="49" t="s">
        <v>227</v>
      </c>
      <c r="B205" s="178"/>
      <c r="C205" s="179"/>
      <c r="D205" s="179"/>
      <c r="E205" s="179"/>
      <c r="F205" s="179"/>
      <c r="G205" s="180"/>
    </row>
    <row r="206" spans="1:7" ht="15.75">
      <c r="A206" s="147" t="s">
        <v>1411</v>
      </c>
      <c r="B206" s="148"/>
      <c r="C206" s="148"/>
      <c r="D206" s="148"/>
      <c r="E206" s="148"/>
      <c r="F206" s="148"/>
      <c r="G206" s="149"/>
    </row>
    <row r="207" spans="1:7" ht="15.75">
      <c r="A207" s="49" t="s">
        <v>227</v>
      </c>
      <c r="B207" s="178"/>
      <c r="C207" s="179"/>
      <c r="D207" s="179"/>
      <c r="E207" s="179"/>
      <c r="F207" s="179"/>
      <c r="G207" s="180"/>
    </row>
    <row r="208" spans="1:7" ht="15.75">
      <c r="A208" s="147"/>
      <c r="B208" s="148"/>
      <c r="C208" s="148"/>
      <c r="D208" s="148"/>
      <c r="E208" s="148"/>
      <c r="F208" s="148"/>
      <c r="G208" s="149"/>
    </row>
    <row r="209" spans="1:7" ht="31.5" customHeight="1">
      <c r="A209" s="93" t="s">
        <v>229</v>
      </c>
      <c r="B209" s="93"/>
      <c r="C209" s="93"/>
      <c r="D209" s="93"/>
      <c r="E209" s="93"/>
      <c r="F209" s="93"/>
      <c r="G209" s="93"/>
    </row>
  </sheetData>
  <sheetProtection/>
  <mergeCells count="322">
    <mergeCell ref="A206:G206"/>
    <mergeCell ref="B207:G207"/>
    <mergeCell ref="A208:G208"/>
    <mergeCell ref="A209:G209"/>
    <mergeCell ref="A200:G200"/>
    <mergeCell ref="B201:G201"/>
    <mergeCell ref="A202:G202"/>
    <mergeCell ref="B203:G203"/>
    <mergeCell ref="A204:G204"/>
    <mergeCell ref="B205:G205"/>
    <mergeCell ref="A194:G194"/>
    <mergeCell ref="B195:G195"/>
    <mergeCell ref="A196:G196"/>
    <mergeCell ref="B197:G197"/>
    <mergeCell ref="A198:G198"/>
    <mergeCell ref="B199:G199"/>
    <mergeCell ref="A188:G188"/>
    <mergeCell ref="B189:G189"/>
    <mergeCell ref="A190:G190"/>
    <mergeCell ref="B191:G191"/>
    <mergeCell ref="A192:G192"/>
    <mergeCell ref="B193:G193"/>
    <mergeCell ref="A182:G182"/>
    <mergeCell ref="B183:G183"/>
    <mergeCell ref="A184:G184"/>
    <mergeCell ref="B185:G185"/>
    <mergeCell ref="A186:G186"/>
    <mergeCell ref="B187:G187"/>
    <mergeCell ref="A176:G176"/>
    <mergeCell ref="B177:G177"/>
    <mergeCell ref="A178:G178"/>
    <mergeCell ref="B179:G179"/>
    <mergeCell ref="A180:G180"/>
    <mergeCell ref="B181:G181"/>
    <mergeCell ref="B170:G170"/>
    <mergeCell ref="B171:G171"/>
    <mergeCell ref="A172:G172"/>
    <mergeCell ref="A173:G173"/>
    <mergeCell ref="A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34:G134"/>
    <mergeCell ref="B135:G135"/>
    <mergeCell ref="A136:G136"/>
    <mergeCell ref="B137:G137"/>
    <mergeCell ref="B138:G138"/>
    <mergeCell ref="B139:G139"/>
    <mergeCell ref="A128:G128"/>
    <mergeCell ref="B129:G129"/>
    <mergeCell ref="B130:G130"/>
    <mergeCell ref="B131:G131"/>
    <mergeCell ref="A132:G132"/>
    <mergeCell ref="B133:G133"/>
    <mergeCell ref="B122:G122"/>
    <mergeCell ref="B123:G123"/>
    <mergeCell ref="A124:G124"/>
    <mergeCell ref="B125:G125"/>
    <mergeCell ref="B126:G126"/>
    <mergeCell ref="B127:G127"/>
    <mergeCell ref="A116:G116"/>
    <mergeCell ref="B117:G117"/>
    <mergeCell ref="B118:G118"/>
    <mergeCell ref="B119:G119"/>
    <mergeCell ref="A120:G120"/>
    <mergeCell ref="B121:G121"/>
    <mergeCell ref="B110:G110"/>
    <mergeCell ref="B111:G111"/>
    <mergeCell ref="A112:G112"/>
    <mergeCell ref="B113:G113"/>
    <mergeCell ref="B114:G114"/>
    <mergeCell ref="B115:G115"/>
    <mergeCell ref="A104:G104"/>
    <mergeCell ref="B105:G105"/>
    <mergeCell ref="B106:G106"/>
    <mergeCell ref="B107:G107"/>
    <mergeCell ref="A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4:E34"/>
    <mergeCell ref="F34:G34"/>
    <mergeCell ref="A35:A36"/>
    <mergeCell ref="B35:B36"/>
    <mergeCell ref="C35:C36"/>
    <mergeCell ref="D35:D36"/>
    <mergeCell ref="E35:E36"/>
    <mergeCell ref="A31:A32"/>
    <mergeCell ref="B31:B32"/>
    <mergeCell ref="C31:C32"/>
    <mergeCell ref="D31:D32"/>
    <mergeCell ref="E31:E32"/>
    <mergeCell ref="A33:G33"/>
    <mergeCell ref="A26:G26"/>
    <mergeCell ref="A27:G27"/>
    <mergeCell ref="A28:E28"/>
    <mergeCell ref="F28:G28"/>
    <mergeCell ref="A29:A30"/>
    <mergeCell ref="B29:B30"/>
    <mergeCell ref="C29:C30"/>
    <mergeCell ref="D29:D30"/>
    <mergeCell ref="E29:E30"/>
    <mergeCell ref="A20:B20"/>
    <mergeCell ref="C20:G20"/>
    <mergeCell ref="A21:G21"/>
    <mergeCell ref="A22:D23"/>
    <mergeCell ref="A24:D24"/>
    <mergeCell ref="A25:D25"/>
    <mergeCell ref="A16:G16"/>
    <mergeCell ref="A17:B17"/>
    <mergeCell ref="C17:G17"/>
    <mergeCell ref="A18:B18"/>
    <mergeCell ref="C18:G18"/>
    <mergeCell ref="A19:B19"/>
    <mergeCell ref="C19:G19"/>
    <mergeCell ref="A10:G10"/>
    <mergeCell ref="A11:G11"/>
    <mergeCell ref="A12:G12"/>
    <mergeCell ref="A13:G13"/>
    <mergeCell ref="B14:G14"/>
    <mergeCell ref="B15:G15"/>
    <mergeCell ref="A7:C7"/>
    <mergeCell ref="D7:G7"/>
    <mergeCell ref="A8:C8"/>
    <mergeCell ref="D8:G8"/>
    <mergeCell ref="A9:C9"/>
    <mergeCell ref="D9:G9"/>
    <mergeCell ref="A1:G1"/>
    <mergeCell ref="A2:G2"/>
    <mergeCell ref="A4:G4"/>
    <mergeCell ref="A5:C5"/>
    <mergeCell ref="D5:G5"/>
    <mergeCell ref="A6:C6"/>
    <mergeCell ref="D6:G6"/>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4" manualBreakCount="4">
    <brk id="48" max="255" man="1"/>
    <brk id="98" max="255" man="1"/>
    <brk id="155" max="255" man="1"/>
    <brk id="172" max="255" man="1"/>
  </rowBreaks>
</worksheet>
</file>

<file path=xl/worksheets/sheet8.xml><?xml version="1.0" encoding="utf-8"?>
<worksheet xmlns="http://schemas.openxmlformats.org/spreadsheetml/2006/main" xmlns:r="http://schemas.openxmlformats.org/officeDocument/2006/relationships">
  <dimension ref="A1:G130"/>
  <sheetViews>
    <sheetView showGridLines="0" tabSelected="1" view="pageBreakPreview" zoomScale="70" zoomScaleSheetLayoutView="70" zoomScalePageLayoutView="0" workbookViewId="0" topLeftCell="A109">
      <selection activeCell="A29" sqref="A29:A30"/>
    </sheetView>
  </sheetViews>
  <sheetFormatPr defaultColWidth="11.421875" defaultRowHeight="15"/>
  <cols>
    <col min="1" max="3" width="45.7109375" style="38" customWidth="1"/>
    <col min="4" max="4" width="17.140625" style="38" customWidth="1"/>
    <col min="5" max="5" width="26.140625" style="38" customWidth="1"/>
    <col min="6" max="6" width="41.8515625" style="38" customWidth="1"/>
    <col min="7" max="7" width="13.28125" style="38" customWidth="1"/>
    <col min="8" max="16384" width="11.421875" style="38" customWidth="1"/>
  </cols>
  <sheetData>
    <row r="1" spans="1:7" s="36" customFormat="1" ht="34.5">
      <c r="A1" s="143" t="s">
        <v>81</v>
      </c>
      <c r="B1" s="144"/>
      <c r="C1" s="144"/>
      <c r="D1" s="144"/>
      <c r="E1" s="144"/>
      <c r="F1" s="144"/>
      <c r="G1" s="144"/>
    </row>
    <row r="2" spans="1:7" s="36" customFormat="1" ht="37.5">
      <c r="A2" s="145" t="s">
        <v>82</v>
      </c>
      <c r="B2" s="145"/>
      <c r="C2" s="145"/>
      <c r="D2" s="145"/>
      <c r="E2" s="145"/>
      <c r="F2" s="145"/>
      <c r="G2" s="145"/>
    </row>
    <row r="3" s="37" customFormat="1" ht="11.25"/>
    <row r="4" spans="1:7" ht="15.75">
      <c r="A4" s="107" t="s">
        <v>83</v>
      </c>
      <c r="B4" s="108"/>
      <c r="C4" s="108"/>
      <c r="D4" s="108"/>
      <c r="E4" s="108"/>
      <c r="F4" s="108"/>
      <c r="G4" s="109"/>
    </row>
    <row r="5" spans="1:7" ht="31.5" customHeight="1">
      <c r="A5" s="137" t="s">
        <v>84</v>
      </c>
      <c r="B5" s="138"/>
      <c r="C5" s="139"/>
      <c r="D5" s="140" t="s">
        <v>1371</v>
      </c>
      <c r="E5" s="141"/>
      <c r="F5" s="141"/>
      <c r="G5" s="142"/>
    </row>
    <row r="6" spans="1:7" ht="15.75" customHeight="1">
      <c r="A6" s="137" t="s">
        <v>86</v>
      </c>
      <c r="B6" s="138"/>
      <c r="C6" s="139"/>
      <c r="D6" s="140" t="s">
        <v>87</v>
      </c>
      <c r="E6" s="141"/>
      <c r="F6" s="141"/>
      <c r="G6" s="142"/>
    </row>
    <row r="7" spans="1:7" ht="15.75">
      <c r="A7" s="137" t="s">
        <v>88</v>
      </c>
      <c r="B7" s="138"/>
      <c r="C7" s="139"/>
      <c r="D7" s="140" t="s">
        <v>89</v>
      </c>
      <c r="E7" s="141"/>
      <c r="F7" s="141"/>
      <c r="G7" s="142"/>
    </row>
    <row r="8" spans="1:7" ht="15.75" customHeight="1">
      <c r="A8" s="137" t="s">
        <v>90</v>
      </c>
      <c r="B8" s="138"/>
      <c r="C8" s="139"/>
      <c r="D8" s="140" t="s">
        <v>1461</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40"/>
      <c r="B15" s="168" t="s">
        <v>1373</v>
      </c>
      <c r="C15" s="168"/>
      <c r="D15" s="168"/>
      <c r="E15" s="168"/>
      <c r="F15" s="168"/>
      <c r="G15" s="169"/>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45</v>
      </c>
    </row>
    <row r="30" spans="1:7" ht="15.75">
      <c r="A30" s="105"/>
      <c r="B30" s="105"/>
      <c r="C30" s="105"/>
      <c r="D30" s="105"/>
      <c r="E30" s="105"/>
      <c r="F30" s="45" t="s">
        <v>124</v>
      </c>
      <c r="G30" s="46">
        <v>45</v>
      </c>
    </row>
    <row r="31" spans="1:7" ht="51.75" customHeight="1">
      <c r="A31" s="100" t="s">
        <v>1374</v>
      </c>
      <c r="B31" s="100" t="s">
        <v>1462</v>
      </c>
      <c r="C31" s="100" t="s">
        <v>1376</v>
      </c>
      <c r="D31" s="102" t="s">
        <v>128</v>
      </c>
      <c r="E31" s="102" t="s">
        <v>129</v>
      </c>
      <c r="F31" s="45" t="s">
        <v>130</v>
      </c>
      <c r="G31" s="47">
        <f>0.3*54.7733734085976+0.3*78.4487429748618+0.2*51.8677504208754+0.2*50.1614150628449</f>
        <v>60.372468011781876</v>
      </c>
    </row>
    <row r="32" spans="1:7" ht="51.75" customHeight="1">
      <c r="A32" s="101"/>
      <c r="B32" s="101"/>
      <c r="C32" s="101"/>
      <c r="D32" s="103"/>
      <c r="E32" s="103"/>
      <c r="F32" s="45" t="s">
        <v>131</v>
      </c>
      <c r="G32" s="47">
        <v>134.16104002618195</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83</v>
      </c>
    </row>
    <row r="36" spans="1:7" ht="15.75">
      <c r="A36" s="105"/>
      <c r="B36" s="105"/>
      <c r="C36" s="105"/>
      <c r="D36" s="105"/>
      <c r="E36" s="105"/>
      <c r="F36" s="45" t="s">
        <v>124</v>
      </c>
      <c r="G36" s="46">
        <v>83</v>
      </c>
    </row>
    <row r="37" spans="1:7" ht="58.5" customHeight="1">
      <c r="A37" s="100" t="s">
        <v>1463</v>
      </c>
      <c r="B37" s="100" t="s">
        <v>1464</v>
      </c>
      <c r="C37" s="100" t="s">
        <v>1465</v>
      </c>
      <c r="D37" s="102" t="s">
        <v>5</v>
      </c>
      <c r="E37" s="102" t="s">
        <v>913</v>
      </c>
      <c r="F37" s="45" t="s">
        <v>130</v>
      </c>
      <c r="G37" s="47">
        <f>(36/58)*100</f>
        <v>62.06896551724138</v>
      </c>
    </row>
    <row r="38" spans="1:7" ht="58.5" customHeight="1">
      <c r="A38" s="101"/>
      <c r="B38" s="101"/>
      <c r="C38" s="101"/>
      <c r="D38" s="103"/>
      <c r="E38" s="103"/>
      <c r="F38" s="45" t="s">
        <v>131</v>
      </c>
      <c r="G38" s="47">
        <v>74.78188616535107</v>
      </c>
    </row>
    <row r="39" spans="1:7" ht="15.75">
      <c r="A39" s="96" t="s">
        <v>293</v>
      </c>
      <c r="B39" s="96"/>
      <c r="C39" s="96"/>
      <c r="D39" s="96"/>
      <c r="E39" s="96"/>
      <c r="F39" s="96"/>
      <c r="G39" s="96"/>
    </row>
    <row r="40" spans="1:7" ht="15.75">
      <c r="A40" s="106" t="s">
        <v>117</v>
      </c>
      <c r="B40" s="106"/>
      <c r="C40" s="106"/>
      <c r="D40" s="106"/>
      <c r="E40" s="106"/>
      <c r="F40" s="106" t="s">
        <v>118</v>
      </c>
      <c r="G40" s="106"/>
    </row>
    <row r="41" spans="1:7" ht="15.75" customHeight="1">
      <c r="A41" s="104" t="s">
        <v>119</v>
      </c>
      <c r="B41" s="104" t="s">
        <v>120</v>
      </c>
      <c r="C41" s="104" t="s">
        <v>65</v>
      </c>
      <c r="D41" s="104" t="s">
        <v>121</v>
      </c>
      <c r="E41" s="104" t="s">
        <v>122</v>
      </c>
      <c r="F41" s="45" t="s">
        <v>123</v>
      </c>
      <c r="G41" s="46">
        <v>0.87</v>
      </c>
    </row>
    <row r="42" spans="1:7" ht="15.75">
      <c r="A42" s="105"/>
      <c r="B42" s="105"/>
      <c r="C42" s="105"/>
      <c r="D42" s="105"/>
      <c r="E42" s="105"/>
      <c r="F42" s="45" t="s">
        <v>124</v>
      </c>
      <c r="G42" s="46">
        <v>0.87</v>
      </c>
    </row>
    <row r="43" spans="1:7" ht="33.75" customHeight="1">
      <c r="A43" s="100" t="s">
        <v>1466</v>
      </c>
      <c r="B43" s="100" t="s">
        <v>1467</v>
      </c>
      <c r="C43" s="100" t="s">
        <v>1468</v>
      </c>
      <c r="D43" s="102" t="s">
        <v>128</v>
      </c>
      <c r="E43" s="102" t="s">
        <v>142</v>
      </c>
      <c r="F43" s="45" t="s">
        <v>130</v>
      </c>
      <c r="G43" s="47">
        <f>((52/59)*0.5)+((3/3)*0.5)</f>
        <v>0.9406779661016949</v>
      </c>
    </row>
    <row r="44" spans="1:7" ht="33.75" customHeight="1">
      <c r="A44" s="101"/>
      <c r="B44" s="101"/>
      <c r="C44" s="101"/>
      <c r="D44" s="103"/>
      <c r="E44" s="103"/>
      <c r="F44" s="45" t="s">
        <v>131</v>
      </c>
      <c r="G44" s="47">
        <v>108.1239041496201</v>
      </c>
    </row>
    <row r="45" spans="1:7" ht="15.75" customHeight="1">
      <c r="A45" s="104" t="s">
        <v>119</v>
      </c>
      <c r="B45" s="104" t="s">
        <v>120</v>
      </c>
      <c r="C45" s="104" t="s">
        <v>65</v>
      </c>
      <c r="D45" s="104" t="s">
        <v>121</v>
      </c>
      <c r="E45" s="104" t="s">
        <v>122</v>
      </c>
      <c r="F45" s="45" t="s">
        <v>123</v>
      </c>
      <c r="G45" s="46">
        <v>0.8</v>
      </c>
    </row>
    <row r="46" spans="1:7" ht="15.75">
      <c r="A46" s="105"/>
      <c r="B46" s="105"/>
      <c r="C46" s="105"/>
      <c r="D46" s="105"/>
      <c r="E46" s="105"/>
      <c r="F46" s="45" t="s">
        <v>124</v>
      </c>
      <c r="G46" s="46">
        <v>0.8</v>
      </c>
    </row>
    <row r="47" spans="1:7" ht="35.25" customHeight="1">
      <c r="A47" s="100" t="s">
        <v>1469</v>
      </c>
      <c r="B47" s="100" t="s">
        <v>1470</v>
      </c>
      <c r="C47" s="100" t="s">
        <v>1471</v>
      </c>
      <c r="D47" s="102" t="s">
        <v>128</v>
      </c>
      <c r="E47" s="102" t="s">
        <v>142</v>
      </c>
      <c r="F47" s="45" t="s">
        <v>130</v>
      </c>
      <c r="G47" s="47">
        <f>(0.6189*0.5)+(1*0.5)</f>
        <v>0.80945</v>
      </c>
    </row>
    <row r="48" spans="1:7" ht="35.25" customHeight="1">
      <c r="A48" s="101"/>
      <c r="B48" s="101"/>
      <c r="C48" s="101"/>
      <c r="D48" s="103"/>
      <c r="E48" s="103"/>
      <c r="F48" s="45" t="s">
        <v>131</v>
      </c>
      <c r="G48" s="47">
        <v>101.18125</v>
      </c>
    </row>
    <row r="49" spans="1:7" ht="15.75">
      <c r="A49" s="96" t="s">
        <v>303</v>
      </c>
      <c r="B49" s="96"/>
      <c r="C49" s="96"/>
      <c r="D49" s="96"/>
      <c r="E49" s="96"/>
      <c r="F49" s="96"/>
      <c r="G49" s="96"/>
    </row>
    <row r="50" spans="1:7" ht="15.75">
      <c r="A50" s="106" t="s">
        <v>117</v>
      </c>
      <c r="B50" s="106"/>
      <c r="C50" s="106"/>
      <c r="D50" s="106"/>
      <c r="E50" s="106"/>
      <c r="F50" s="106" t="s">
        <v>118</v>
      </c>
      <c r="G50" s="106"/>
    </row>
    <row r="51" spans="1:7" ht="15.75" customHeight="1">
      <c r="A51" s="104" t="s">
        <v>119</v>
      </c>
      <c r="B51" s="104" t="s">
        <v>120</v>
      </c>
      <c r="C51" s="104" t="s">
        <v>65</v>
      </c>
      <c r="D51" s="104" t="s">
        <v>121</v>
      </c>
      <c r="E51" s="104" t="s">
        <v>122</v>
      </c>
      <c r="F51" s="45" t="s">
        <v>123</v>
      </c>
      <c r="G51" s="46">
        <v>100</v>
      </c>
    </row>
    <row r="52" spans="1:7" ht="15.75">
      <c r="A52" s="105"/>
      <c r="B52" s="105"/>
      <c r="C52" s="105"/>
      <c r="D52" s="105"/>
      <c r="E52" s="105"/>
      <c r="F52" s="45" t="s">
        <v>124</v>
      </c>
      <c r="G52" s="46">
        <v>100</v>
      </c>
    </row>
    <row r="53" spans="1:7" ht="35.25" customHeight="1">
      <c r="A53" s="100" t="s">
        <v>1472</v>
      </c>
      <c r="B53" s="100" t="s">
        <v>1473</v>
      </c>
      <c r="C53" s="100" t="s">
        <v>1474</v>
      </c>
      <c r="D53" s="102" t="s">
        <v>5</v>
      </c>
      <c r="E53" s="102" t="s">
        <v>142</v>
      </c>
      <c r="F53" s="45" t="s">
        <v>130</v>
      </c>
      <c r="G53" s="47">
        <f>(1/1)*100</f>
        <v>100</v>
      </c>
    </row>
    <row r="54" spans="1:7" ht="35.25" customHeight="1">
      <c r="A54" s="101"/>
      <c r="B54" s="101"/>
      <c r="C54" s="101"/>
      <c r="D54" s="103"/>
      <c r="E54" s="103"/>
      <c r="F54" s="45" t="s">
        <v>131</v>
      </c>
      <c r="G54" s="47">
        <v>100</v>
      </c>
    </row>
    <row r="55" spans="1:7" ht="15.75" customHeight="1">
      <c r="A55" s="104" t="s">
        <v>119</v>
      </c>
      <c r="B55" s="104" t="s">
        <v>120</v>
      </c>
      <c r="C55" s="104" t="s">
        <v>65</v>
      </c>
      <c r="D55" s="104" t="s">
        <v>121</v>
      </c>
      <c r="E55" s="104" t="s">
        <v>122</v>
      </c>
      <c r="F55" s="45" t="s">
        <v>123</v>
      </c>
      <c r="G55" s="46">
        <v>80</v>
      </c>
    </row>
    <row r="56" spans="1:7" ht="15.75">
      <c r="A56" s="105"/>
      <c r="B56" s="105"/>
      <c r="C56" s="105"/>
      <c r="D56" s="105"/>
      <c r="E56" s="105"/>
      <c r="F56" s="45" t="s">
        <v>124</v>
      </c>
      <c r="G56" s="46">
        <v>80</v>
      </c>
    </row>
    <row r="57" spans="1:7" ht="31.5" customHeight="1">
      <c r="A57" s="100" t="s">
        <v>1475</v>
      </c>
      <c r="B57" s="100" t="s">
        <v>1476</v>
      </c>
      <c r="C57" s="100" t="s">
        <v>1477</v>
      </c>
      <c r="D57" s="102" t="s">
        <v>5</v>
      </c>
      <c r="E57" s="102" t="s">
        <v>167</v>
      </c>
      <c r="F57" s="45" t="s">
        <v>130</v>
      </c>
      <c r="G57" s="47">
        <f>(261/315)*100</f>
        <v>82.85714285714286</v>
      </c>
    </row>
    <row r="58" spans="1:7" ht="31.5" customHeight="1">
      <c r="A58" s="101"/>
      <c r="B58" s="101"/>
      <c r="C58" s="101"/>
      <c r="D58" s="103"/>
      <c r="E58" s="103"/>
      <c r="F58" s="45" t="s">
        <v>131</v>
      </c>
      <c r="G58" s="47">
        <v>103.57142857142858</v>
      </c>
    </row>
    <row r="59" spans="1:7" ht="15.75" customHeight="1">
      <c r="A59" s="104" t="s">
        <v>119</v>
      </c>
      <c r="B59" s="104" t="s">
        <v>120</v>
      </c>
      <c r="C59" s="104" t="s">
        <v>65</v>
      </c>
      <c r="D59" s="104" t="s">
        <v>121</v>
      </c>
      <c r="E59" s="104" t="s">
        <v>122</v>
      </c>
      <c r="F59" s="45" t="s">
        <v>123</v>
      </c>
      <c r="G59" s="46">
        <v>90</v>
      </c>
    </row>
    <row r="60" spans="1:7" ht="15.75">
      <c r="A60" s="105"/>
      <c r="B60" s="105"/>
      <c r="C60" s="105"/>
      <c r="D60" s="105"/>
      <c r="E60" s="105"/>
      <c r="F60" s="45" t="s">
        <v>124</v>
      </c>
      <c r="G60" s="46">
        <v>90</v>
      </c>
    </row>
    <row r="61" spans="1:7" ht="31.5" customHeight="1">
      <c r="A61" s="100" t="s">
        <v>1411</v>
      </c>
      <c r="B61" s="100" t="s">
        <v>1478</v>
      </c>
      <c r="C61" s="100" t="s">
        <v>1479</v>
      </c>
      <c r="D61" s="102" t="s">
        <v>5</v>
      </c>
      <c r="E61" s="102" t="s">
        <v>167</v>
      </c>
      <c r="F61" s="45" t="s">
        <v>130</v>
      </c>
      <c r="G61" s="47">
        <f>(3/3)*100</f>
        <v>100</v>
      </c>
    </row>
    <row r="62" spans="1:7" ht="31.5" customHeight="1">
      <c r="A62" s="101"/>
      <c r="B62" s="101"/>
      <c r="C62" s="101"/>
      <c r="D62" s="103"/>
      <c r="E62" s="103"/>
      <c r="F62" s="45" t="s">
        <v>131</v>
      </c>
      <c r="G62" s="47">
        <v>111.11111111111111</v>
      </c>
    </row>
    <row r="63" spans="1:7" ht="15.75" customHeight="1">
      <c r="A63" s="104" t="s">
        <v>119</v>
      </c>
      <c r="B63" s="104" t="s">
        <v>120</v>
      </c>
      <c r="C63" s="104" t="s">
        <v>65</v>
      </c>
      <c r="D63" s="104" t="s">
        <v>121</v>
      </c>
      <c r="E63" s="104" t="s">
        <v>122</v>
      </c>
      <c r="F63" s="45" t="s">
        <v>123</v>
      </c>
      <c r="G63" s="46">
        <v>80</v>
      </c>
    </row>
    <row r="64" spans="1:7" ht="15.75">
      <c r="A64" s="105"/>
      <c r="B64" s="105"/>
      <c r="C64" s="105"/>
      <c r="D64" s="105"/>
      <c r="E64" s="105"/>
      <c r="F64" s="45" t="s">
        <v>124</v>
      </c>
      <c r="G64" s="46">
        <v>80</v>
      </c>
    </row>
    <row r="65" spans="1:7" ht="92.25" customHeight="1">
      <c r="A65" s="100" t="s">
        <v>1480</v>
      </c>
      <c r="B65" s="100" t="s">
        <v>1481</v>
      </c>
      <c r="C65" s="100" t="s">
        <v>1482</v>
      </c>
      <c r="D65" s="102" t="s">
        <v>5</v>
      </c>
      <c r="E65" s="102" t="s">
        <v>142</v>
      </c>
      <c r="F65" s="45" t="s">
        <v>130</v>
      </c>
      <c r="G65" s="47">
        <f>(1+1)/2*100</f>
        <v>100</v>
      </c>
    </row>
    <row r="66" spans="1:7" ht="92.25" customHeight="1">
      <c r="A66" s="101"/>
      <c r="B66" s="101"/>
      <c r="C66" s="101"/>
      <c r="D66" s="103"/>
      <c r="E66" s="103"/>
      <c r="F66" s="45" t="s">
        <v>131</v>
      </c>
      <c r="G66" s="47">
        <v>125</v>
      </c>
    </row>
    <row r="67" spans="1:7" ht="15.75" customHeight="1">
      <c r="A67" s="104" t="s">
        <v>119</v>
      </c>
      <c r="B67" s="104" t="s">
        <v>120</v>
      </c>
      <c r="C67" s="104" t="s">
        <v>65</v>
      </c>
      <c r="D67" s="104" t="s">
        <v>121</v>
      </c>
      <c r="E67" s="104" t="s">
        <v>122</v>
      </c>
      <c r="F67" s="45" t="s">
        <v>123</v>
      </c>
      <c r="G67" s="46">
        <v>100</v>
      </c>
    </row>
    <row r="68" spans="1:7" ht="15.75">
      <c r="A68" s="105"/>
      <c r="B68" s="105"/>
      <c r="C68" s="105"/>
      <c r="D68" s="105"/>
      <c r="E68" s="105"/>
      <c r="F68" s="45" t="s">
        <v>124</v>
      </c>
      <c r="G68" s="46">
        <v>100</v>
      </c>
    </row>
    <row r="69" spans="1:7" ht="50.25" customHeight="1">
      <c r="A69" s="100" t="s">
        <v>1483</v>
      </c>
      <c r="B69" s="100" t="s">
        <v>1484</v>
      </c>
      <c r="C69" s="100" t="s">
        <v>1485</v>
      </c>
      <c r="D69" s="102" t="s">
        <v>5</v>
      </c>
      <c r="E69" s="102" t="s">
        <v>167</v>
      </c>
      <c r="F69" s="45" t="s">
        <v>130</v>
      </c>
      <c r="G69" s="47">
        <f>(52/59)*100</f>
        <v>88.13559322033898</v>
      </c>
    </row>
    <row r="70" spans="1:7" ht="50.25" customHeight="1">
      <c r="A70" s="101"/>
      <c r="B70" s="101"/>
      <c r="C70" s="101"/>
      <c r="D70" s="103"/>
      <c r="E70" s="103"/>
      <c r="F70" s="45" t="s">
        <v>131</v>
      </c>
      <c r="G70" s="47">
        <v>88.13559322033898</v>
      </c>
    </row>
    <row r="71" spans="1:7" ht="15.75" customHeight="1">
      <c r="A71" s="104" t="s">
        <v>119</v>
      </c>
      <c r="B71" s="104" t="s">
        <v>120</v>
      </c>
      <c r="C71" s="104" t="s">
        <v>65</v>
      </c>
      <c r="D71" s="104" t="s">
        <v>121</v>
      </c>
      <c r="E71" s="104" t="s">
        <v>122</v>
      </c>
      <c r="F71" s="45" t="s">
        <v>123</v>
      </c>
      <c r="G71" s="46">
        <v>100</v>
      </c>
    </row>
    <row r="72" spans="1:7" ht="15.75">
      <c r="A72" s="105"/>
      <c r="B72" s="105"/>
      <c r="C72" s="105"/>
      <c r="D72" s="105"/>
      <c r="E72" s="105"/>
      <c r="F72" s="45" t="s">
        <v>124</v>
      </c>
      <c r="G72" s="46">
        <v>100</v>
      </c>
    </row>
    <row r="73" spans="1:7" ht="39" customHeight="1">
      <c r="A73" s="100" t="s">
        <v>1486</v>
      </c>
      <c r="B73" s="100" t="s">
        <v>1487</v>
      </c>
      <c r="C73" s="100" t="s">
        <v>1488</v>
      </c>
      <c r="D73" s="102" t="s">
        <v>5</v>
      </c>
      <c r="E73" s="102" t="s">
        <v>142</v>
      </c>
      <c r="F73" s="45" t="s">
        <v>130</v>
      </c>
      <c r="G73" s="47">
        <f>(160/160)*100</f>
        <v>100</v>
      </c>
    </row>
    <row r="74" spans="1:7" ht="39" customHeight="1">
      <c r="A74" s="101"/>
      <c r="B74" s="101"/>
      <c r="C74" s="101"/>
      <c r="D74" s="103"/>
      <c r="E74" s="103"/>
      <c r="F74" s="45" t="s">
        <v>131</v>
      </c>
      <c r="G74" s="47">
        <v>100</v>
      </c>
    </row>
    <row r="75" spans="1:7" ht="15.75" customHeight="1">
      <c r="A75" s="104" t="s">
        <v>119</v>
      </c>
      <c r="B75" s="104" t="s">
        <v>120</v>
      </c>
      <c r="C75" s="104" t="s">
        <v>65</v>
      </c>
      <c r="D75" s="104" t="s">
        <v>121</v>
      </c>
      <c r="E75" s="104" t="s">
        <v>122</v>
      </c>
      <c r="F75" s="45" t="s">
        <v>123</v>
      </c>
      <c r="G75" s="46">
        <v>70</v>
      </c>
    </row>
    <row r="76" spans="1:7" ht="15.75">
      <c r="A76" s="105"/>
      <c r="B76" s="105"/>
      <c r="C76" s="105"/>
      <c r="D76" s="105"/>
      <c r="E76" s="105"/>
      <c r="F76" s="45" t="s">
        <v>124</v>
      </c>
      <c r="G76" s="46">
        <v>70</v>
      </c>
    </row>
    <row r="77" spans="1:7" ht="40.5" customHeight="1">
      <c r="A77" s="100" t="s">
        <v>1489</v>
      </c>
      <c r="B77" s="100" t="s">
        <v>1490</v>
      </c>
      <c r="C77" s="100" t="s">
        <v>1491</v>
      </c>
      <c r="D77" s="102" t="s">
        <v>5</v>
      </c>
      <c r="E77" s="102" t="s">
        <v>298</v>
      </c>
      <c r="F77" s="45" t="s">
        <v>130</v>
      </c>
      <c r="G77" s="47">
        <f>(214/235)*100</f>
        <v>91.06382978723404</v>
      </c>
    </row>
    <row r="78" spans="1:7" ht="40.5" customHeight="1">
      <c r="A78" s="101"/>
      <c r="B78" s="101"/>
      <c r="C78" s="101"/>
      <c r="D78" s="103"/>
      <c r="E78" s="103"/>
      <c r="F78" s="45" t="s">
        <v>131</v>
      </c>
      <c r="G78" s="47">
        <v>130.09118541033436</v>
      </c>
    </row>
    <row r="79" spans="1:7" ht="15.75">
      <c r="A79" s="96" t="s">
        <v>192</v>
      </c>
      <c r="B79" s="96"/>
      <c r="C79" s="96"/>
      <c r="D79" s="96"/>
      <c r="E79" s="96"/>
      <c r="F79" s="96"/>
      <c r="G79" s="96"/>
    </row>
    <row r="80" spans="1:7" ht="15.75">
      <c r="A80" s="99" t="str">
        <f>A31</f>
        <v>Indicador Compuesto del Cumplimiento de Obligaciones de Transparencia (ICCOT) </v>
      </c>
      <c r="B80" s="99"/>
      <c r="C80" s="99"/>
      <c r="D80" s="99"/>
      <c r="E80" s="99"/>
      <c r="F80" s="99"/>
      <c r="G80" s="99"/>
    </row>
    <row r="81" spans="1:7" ht="31.5" customHeight="1">
      <c r="A81" s="48" t="s">
        <v>193</v>
      </c>
      <c r="B81" s="98" t="s">
        <v>1367</v>
      </c>
      <c r="C81" s="98"/>
      <c r="D81" s="98"/>
      <c r="E81" s="98"/>
      <c r="F81" s="98"/>
      <c r="G81" s="98"/>
    </row>
    <row r="82" spans="1:7" ht="31.5" customHeight="1">
      <c r="A82" s="49" t="s">
        <v>6</v>
      </c>
      <c r="B82" s="98" t="s">
        <v>1334</v>
      </c>
      <c r="C82" s="98"/>
      <c r="D82" s="98"/>
      <c r="E82" s="98"/>
      <c r="F82" s="98"/>
      <c r="G82" s="98"/>
    </row>
    <row r="83" spans="1:7" ht="15.75">
      <c r="A83" s="49" t="s">
        <v>195</v>
      </c>
      <c r="B83" s="95"/>
      <c r="C83" s="95"/>
      <c r="D83" s="95"/>
      <c r="E83" s="95"/>
      <c r="F83" s="95"/>
      <c r="G83" s="95"/>
    </row>
    <row r="84" spans="1:7" ht="15.75">
      <c r="A84" s="90" t="str">
        <f>A37</f>
        <v>Porcentaje de cumplimiento de obligaciones de transparencia y acceso a la información por parte los sujetos obligados de la Administración Pública Centralizada </v>
      </c>
      <c r="B84" s="90"/>
      <c r="C84" s="90"/>
      <c r="D84" s="90"/>
      <c r="E84" s="90"/>
      <c r="F84" s="90"/>
      <c r="G84" s="90"/>
    </row>
    <row r="85" spans="1:7" ht="31.5" customHeight="1">
      <c r="A85" s="49" t="s">
        <v>193</v>
      </c>
      <c r="B85" s="94" t="s">
        <v>1492</v>
      </c>
      <c r="C85" s="94"/>
      <c r="D85" s="94"/>
      <c r="E85" s="94"/>
      <c r="F85" s="94"/>
      <c r="G85" s="94"/>
    </row>
    <row r="86" spans="1:7" ht="15.75">
      <c r="A86" s="49" t="s">
        <v>6</v>
      </c>
      <c r="B86" s="94" t="s">
        <v>1493</v>
      </c>
      <c r="C86" s="94"/>
      <c r="D86" s="94"/>
      <c r="E86" s="94"/>
      <c r="F86" s="94"/>
      <c r="G86" s="94"/>
    </row>
    <row r="87" spans="1:7" ht="15.75">
      <c r="A87" s="49" t="s">
        <v>195</v>
      </c>
      <c r="B87" s="95"/>
      <c r="C87" s="95"/>
      <c r="D87" s="95"/>
      <c r="E87" s="95"/>
      <c r="F87" s="95"/>
      <c r="G87" s="95"/>
    </row>
    <row r="88" spans="1:7" ht="15.75">
      <c r="A88" s="90" t="str">
        <f>A43</f>
        <v>índice Global de Acompañamiento  a  los Sujetos Obligados correspondientes de la DGAPC (IGASO)</v>
      </c>
      <c r="B88" s="90"/>
      <c r="C88" s="90"/>
      <c r="D88" s="90"/>
      <c r="E88" s="90"/>
      <c r="F88" s="90"/>
      <c r="G88" s="90"/>
    </row>
    <row r="89" spans="1:7" ht="44.25" customHeight="1">
      <c r="A89" s="49" t="s">
        <v>193</v>
      </c>
      <c r="B89" s="94" t="s">
        <v>1494</v>
      </c>
      <c r="C89" s="94"/>
      <c r="D89" s="94"/>
      <c r="E89" s="94"/>
      <c r="F89" s="94"/>
      <c r="G89" s="94"/>
    </row>
    <row r="90" spans="1:7" ht="31.5" customHeight="1">
      <c r="A90" s="49" t="s">
        <v>6</v>
      </c>
      <c r="B90" s="94" t="s">
        <v>1495</v>
      </c>
      <c r="C90" s="94"/>
      <c r="D90" s="94"/>
      <c r="E90" s="94"/>
      <c r="F90" s="94"/>
      <c r="G90" s="94"/>
    </row>
    <row r="91" spans="1:7" ht="15.75">
      <c r="A91" s="49" t="s">
        <v>195</v>
      </c>
      <c r="B91" s="95"/>
      <c r="C91" s="95"/>
      <c r="D91" s="95"/>
      <c r="E91" s="95"/>
      <c r="F91" s="95"/>
      <c r="G91" s="95"/>
    </row>
    <row r="92" spans="1:7" ht="15.75">
      <c r="A92" s="90" t="str">
        <f>A47</f>
        <v>Índice Global de Seguimiento  a  los Sujetos Obligados correspondientes de la DGAPC (IGSSO)</v>
      </c>
      <c r="B92" s="90"/>
      <c r="C92" s="90"/>
      <c r="D92" s="90"/>
      <c r="E92" s="90"/>
      <c r="F92" s="90"/>
      <c r="G92" s="90"/>
    </row>
    <row r="93" spans="1:7" ht="51" customHeight="1">
      <c r="A93" s="49" t="s">
        <v>193</v>
      </c>
      <c r="B93" s="94" t="s">
        <v>1496</v>
      </c>
      <c r="C93" s="94"/>
      <c r="D93" s="94"/>
      <c r="E93" s="94"/>
      <c r="F93" s="94"/>
      <c r="G93" s="94"/>
    </row>
    <row r="94" spans="1:7" ht="15.75">
      <c r="A94" s="49" t="s">
        <v>6</v>
      </c>
      <c r="B94" s="94" t="s">
        <v>1497</v>
      </c>
      <c r="C94" s="94"/>
      <c r="D94" s="94"/>
      <c r="E94" s="94"/>
      <c r="F94" s="94"/>
      <c r="G94" s="94"/>
    </row>
    <row r="95" spans="1:7" ht="15.75">
      <c r="A95" s="49" t="s">
        <v>195</v>
      </c>
      <c r="B95" s="95"/>
      <c r="C95" s="95"/>
      <c r="D95" s="95"/>
      <c r="E95" s="95"/>
      <c r="F95" s="95"/>
      <c r="G95" s="95"/>
    </row>
    <row r="96" spans="1:7" ht="15.75">
      <c r="A96" s="90" t="str">
        <f>A53</f>
        <v>Porcentaje de convenios generales y específicos firmados</v>
      </c>
      <c r="B96" s="90"/>
      <c r="C96" s="90"/>
      <c r="D96" s="90"/>
      <c r="E96" s="90"/>
      <c r="F96" s="90"/>
      <c r="G96" s="90"/>
    </row>
    <row r="97" spans="1:7" ht="15.75">
      <c r="A97" s="49" t="s">
        <v>193</v>
      </c>
      <c r="B97" s="94" t="s">
        <v>1498</v>
      </c>
      <c r="C97" s="94"/>
      <c r="D97" s="94"/>
      <c r="E97" s="94"/>
      <c r="F97" s="94"/>
      <c r="G97" s="94"/>
    </row>
    <row r="98" spans="1:7" ht="31.5" customHeight="1">
      <c r="A98" s="49" t="s">
        <v>6</v>
      </c>
      <c r="B98" s="94" t="s">
        <v>1499</v>
      </c>
      <c r="C98" s="94"/>
      <c r="D98" s="94"/>
      <c r="E98" s="94"/>
      <c r="F98" s="94"/>
      <c r="G98" s="94"/>
    </row>
    <row r="99" spans="1:7" ht="15.75">
      <c r="A99" s="49" t="s">
        <v>195</v>
      </c>
      <c r="B99" s="95"/>
      <c r="C99" s="95"/>
      <c r="D99" s="95"/>
      <c r="E99" s="95"/>
      <c r="F99" s="95"/>
      <c r="G99" s="95"/>
    </row>
    <row r="100" spans="1:7" ht="15.75">
      <c r="A100" s="90" t="str">
        <f>A57</f>
        <v>Porcentaje de asistencia de los servidores públicos y particulares invitados a eventos y actividades que promueven políticas orientadas a la transparencia organizacional</v>
      </c>
      <c r="B100" s="90"/>
      <c r="C100" s="90"/>
      <c r="D100" s="90"/>
      <c r="E100" s="90"/>
      <c r="F100" s="90"/>
      <c r="G100" s="90"/>
    </row>
    <row r="101" spans="1:7" ht="31.5" customHeight="1">
      <c r="A101" s="49" t="s">
        <v>193</v>
      </c>
      <c r="B101" s="94" t="s">
        <v>1500</v>
      </c>
      <c r="C101" s="94"/>
      <c r="D101" s="94"/>
      <c r="E101" s="94"/>
      <c r="F101" s="94"/>
      <c r="G101" s="94"/>
    </row>
    <row r="102" spans="1:7" ht="15.75">
      <c r="A102" s="49" t="s">
        <v>6</v>
      </c>
      <c r="B102" s="94" t="s">
        <v>1501</v>
      </c>
      <c r="C102" s="94"/>
      <c r="D102" s="94"/>
      <c r="E102" s="94"/>
      <c r="F102" s="94"/>
      <c r="G102" s="94"/>
    </row>
    <row r="103" spans="1:7" ht="15.75">
      <c r="A103" s="49" t="s">
        <v>195</v>
      </c>
      <c r="B103" s="95"/>
      <c r="C103" s="95"/>
      <c r="D103" s="95"/>
      <c r="E103" s="95"/>
      <c r="F103" s="95"/>
      <c r="G103" s="95"/>
    </row>
    <row r="104" spans="1:7" ht="15.75">
      <c r="A104" s="90" t="str">
        <f>A61</f>
        <v>Porcentaje de capacitaciones especializadas impartidas</v>
      </c>
      <c r="B104" s="90"/>
      <c r="C104" s="90"/>
      <c r="D104" s="90"/>
      <c r="E104" s="90"/>
      <c r="F104" s="90"/>
      <c r="G104" s="90"/>
    </row>
    <row r="105" spans="1:7" ht="31.5" customHeight="1">
      <c r="A105" s="49" t="s">
        <v>193</v>
      </c>
      <c r="B105" s="94" t="s">
        <v>1502</v>
      </c>
      <c r="C105" s="94"/>
      <c r="D105" s="94"/>
      <c r="E105" s="94"/>
      <c r="F105" s="94"/>
      <c r="G105" s="94"/>
    </row>
    <row r="106" spans="1:7" ht="31.5" customHeight="1">
      <c r="A106" s="49" t="s">
        <v>6</v>
      </c>
      <c r="B106" s="94" t="s">
        <v>1503</v>
      </c>
      <c r="C106" s="94"/>
      <c r="D106" s="94"/>
      <c r="E106" s="94"/>
      <c r="F106" s="94"/>
      <c r="G106" s="94"/>
    </row>
    <row r="107" spans="1:7" ht="15.75">
      <c r="A107" s="49" t="s">
        <v>195</v>
      </c>
      <c r="B107" s="95"/>
      <c r="C107" s="95"/>
      <c r="D107" s="95"/>
      <c r="E107" s="95"/>
      <c r="F107" s="95"/>
      <c r="G107" s="95"/>
    </row>
    <row r="108" spans="1:7" ht="15.75">
      <c r="A108" s="90" t="str">
        <f>A65</f>
        <v>Porcentaje de sujetos obligados correspondientes  de la DGAPC  sensibilizados en materia de Políticas de Acceso, Gobierno Abierto y Transparencia Proactiva.</v>
      </c>
      <c r="B108" s="90"/>
      <c r="C108" s="90"/>
      <c r="D108" s="90"/>
      <c r="E108" s="90"/>
      <c r="F108" s="90"/>
      <c r="G108" s="90"/>
    </row>
    <row r="109" spans="1:7" ht="44.25" customHeight="1">
      <c r="A109" s="49" t="s">
        <v>193</v>
      </c>
      <c r="B109" s="94" t="s">
        <v>1504</v>
      </c>
      <c r="C109" s="94"/>
      <c r="D109" s="94"/>
      <c r="E109" s="94"/>
      <c r="F109" s="94"/>
      <c r="G109" s="94"/>
    </row>
    <row r="110" spans="1:7" ht="15.75">
      <c r="A110" s="49" t="s">
        <v>6</v>
      </c>
      <c r="B110" s="94" t="s">
        <v>1505</v>
      </c>
      <c r="C110" s="94"/>
      <c r="D110" s="94"/>
      <c r="E110" s="94"/>
      <c r="F110" s="94"/>
      <c r="G110" s="94"/>
    </row>
    <row r="111" spans="1:7" ht="15.75">
      <c r="A111" s="49" t="s">
        <v>195</v>
      </c>
      <c r="B111" s="95"/>
      <c r="C111" s="95"/>
      <c r="D111" s="95"/>
      <c r="E111" s="95"/>
      <c r="F111" s="95"/>
      <c r="G111" s="95"/>
    </row>
    <row r="112" spans="1:7" ht="15.75">
      <c r="A112" s="90" t="str">
        <f>A69</f>
        <v>Porcentaje de asesoría  y levantamiento de información sobre los sujetos obligados de la Administración Pública Centralizada en relación a la implementación de acciones para el cumplimiento de las obligaciones en el marco de la normatividad  de transparencia y acceso a la información.</v>
      </c>
      <c r="B112" s="90"/>
      <c r="C112" s="90"/>
      <c r="D112" s="90"/>
      <c r="E112" s="90"/>
      <c r="F112" s="90"/>
      <c r="G112" s="90"/>
    </row>
    <row r="113" spans="1:7" ht="31.5" customHeight="1">
      <c r="A113" s="49" t="s">
        <v>193</v>
      </c>
      <c r="B113" s="94" t="s">
        <v>1506</v>
      </c>
      <c r="C113" s="94"/>
      <c r="D113" s="94"/>
      <c r="E113" s="94"/>
      <c r="F113" s="94"/>
      <c r="G113" s="94"/>
    </row>
    <row r="114" spans="1:7" ht="40.5" customHeight="1">
      <c r="A114" s="49" t="s">
        <v>6</v>
      </c>
      <c r="B114" s="94" t="s">
        <v>1507</v>
      </c>
      <c r="C114" s="94"/>
      <c r="D114" s="94"/>
      <c r="E114" s="94"/>
      <c r="F114" s="94"/>
      <c r="G114" s="94"/>
    </row>
    <row r="115" spans="1:7" ht="15.75">
      <c r="A115" s="49" t="s">
        <v>195</v>
      </c>
      <c r="B115" s="95"/>
      <c r="C115" s="95"/>
      <c r="D115" s="95"/>
      <c r="E115" s="95"/>
      <c r="F115" s="95"/>
      <c r="G115" s="95"/>
    </row>
    <row r="116" spans="1:7" ht="15.75">
      <c r="A116" s="90" t="str">
        <f>A73</f>
        <v>Porcentaje de acciones de verificación sobre la calidad de las respuestas a solicitudes de información de los sujetos obligados correspondientes a la DGAPC</v>
      </c>
      <c r="B116" s="90"/>
      <c r="C116" s="90"/>
      <c r="D116" s="90"/>
      <c r="E116" s="90"/>
      <c r="F116" s="90"/>
      <c r="G116" s="90"/>
    </row>
    <row r="117" spans="1:7" ht="31.5" customHeight="1">
      <c r="A117" s="49" t="s">
        <v>193</v>
      </c>
      <c r="B117" s="94" t="s">
        <v>1508</v>
      </c>
      <c r="C117" s="94"/>
      <c r="D117" s="94"/>
      <c r="E117" s="94"/>
      <c r="F117" s="94"/>
      <c r="G117" s="94"/>
    </row>
    <row r="118" spans="1:7" ht="31.5" customHeight="1">
      <c r="A118" s="49" t="s">
        <v>6</v>
      </c>
      <c r="B118" s="94" t="s">
        <v>1509</v>
      </c>
      <c r="C118" s="94"/>
      <c r="D118" s="94"/>
      <c r="E118" s="94"/>
      <c r="F118" s="94"/>
      <c r="G118" s="94"/>
    </row>
    <row r="119" spans="1:7" ht="15.75">
      <c r="A119" s="49" t="s">
        <v>195</v>
      </c>
      <c r="B119" s="95"/>
      <c r="C119" s="95"/>
      <c r="D119" s="95"/>
      <c r="E119" s="95"/>
      <c r="F119" s="95"/>
      <c r="G119" s="95"/>
    </row>
    <row r="120" spans="1:7" ht="15.75">
      <c r="A120" s="90" t="str">
        <f>A77</f>
        <v>Porcentaje de sujetos obligados de la Administración Pública Centralizada revisados que subieron la información de  las obligaciones que derivan del Título Quinto de la LGTAIP en la Plataforma Nacional de Transparencia en tiempo y forma.</v>
      </c>
      <c r="B120" s="90"/>
      <c r="C120" s="90"/>
      <c r="D120" s="90"/>
      <c r="E120" s="90"/>
      <c r="F120" s="90"/>
      <c r="G120" s="90"/>
    </row>
    <row r="121" spans="1:7" ht="31.5" customHeight="1">
      <c r="A121" s="49" t="s">
        <v>193</v>
      </c>
      <c r="B121" s="94" t="s">
        <v>1510</v>
      </c>
      <c r="C121" s="94"/>
      <c r="D121" s="94"/>
      <c r="E121" s="94"/>
      <c r="F121" s="94"/>
      <c r="G121" s="94"/>
    </row>
    <row r="122" spans="1:7" ht="15.75">
      <c r="A122" s="49" t="s">
        <v>6</v>
      </c>
      <c r="B122" s="94" t="s">
        <v>1511</v>
      </c>
      <c r="C122" s="94"/>
      <c r="D122" s="94"/>
      <c r="E122" s="94"/>
      <c r="F122" s="94"/>
      <c r="G122" s="94"/>
    </row>
    <row r="123" spans="1:7" ht="15.75">
      <c r="A123" s="49" t="s">
        <v>195</v>
      </c>
      <c r="B123" s="94"/>
      <c r="C123" s="94"/>
      <c r="D123" s="94"/>
      <c r="E123" s="94"/>
      <c r="F123" s="94"/>
      <c r="G123" s="94"/>
    </row>
    <row r="124" spans="1:7" ht="15.75">
      <c r="A124" s="146"/>
      <c r="B124" s="146"/>
      <c r="C124" s="146"/>
      <c r="D124" s="146"/>
      <c r="E124" s="146"/>
      <c r="F124" s="146"/>
      <c r="G124" s="146"/>
    </row>
    <row r="125" spans="1:7" ht="15.75">
      <c r="A125" s="96" t="s">
        <v>226</v>
      </c>
      <c r="B125" s="96"/>
      <c r="C125" s="96"/>
      <c r="D125" s="96"/>
      <c r="E125" s="96"/>
      <c r="F125" s="96"/>
      <c r="G125" s="96"/>
    </row>
    <row r="126" spans="1:7" ht="15.75">
      <c r="A126" s="90" t="str">
        <f>A31</f>
        <v>Indicador Compuesto del Cumplimiento de Obligaciones de Transparencia (ICCOT) </v>
      </c>
      <c r="B126" s="90"/>
      <c r="C126" s="90"/>
      <c r="D126" s="90"/>
      <c r="E126" s="90"/>
      <c r="F126" s="90"/>
      <c r="G126" s="90"/>
    </row>
    <row r="127" spans="1:7" ht="31.5" customHeight="1">
      <c r="A127" s="49" t="s">
        <v>227</v>
      </c>
      <c r="B127" s="91" t="s">
        <v>1512</v>
      </c>
      <c r="C127" s="91"/>
      <c r="D127" s="91"/>
      <c r="E127" s="91"/>
      <c r="F127" s="91"/>
      <c r="G127" s="91"/>
    </row>
    <row r="128" spans="1:7" ht="15.75">
      <c r="A128" s="90" t="str">
        <f>A47</f>
        <v>Índice Global de Seguimiento  a  los Sujetos Obligados correspondientes de la DGAPC (IGSSO)</v>
      </c>
      <c r="B128" s="90"/>
      <c r="C128" s="90"/>
      <c r="D128" s="90"/>
      <c r="E128" s="90"/>
      <c r="F128" s="90"/>
      <c r="G128" s="90"/>
    </row>
    <row r="129" spans="1:7" ht="31.5" customHeight="1">
      <c r="A129" s="49" t="s">
        <v>227</v>
      </c>
      <c r="B129" s="91" t="s">
        <v>1513</v>
      </c>
      <c r="C129" s="91"/>
      <c r="D129" s="91"/>
      <c r="E129" s="91"/>
      <c r="F129" s="91"/>
      <c r="G129" s="91"/>
    </row>
    <row r="130" spans="1:7" ht="31.5" customHeight="1">
      <c r="A130" s="93" t="s">
        <v>229</v>
      </c>
      <c r="B130" s="93"/>
      <c r="C130" s="93"/>
      <c r="D130" s="93"/>
      <c r="E130" s="93"/>
      <c r="F130" s="93"/>
      <c r="G130" s="93"/>
    </row>
  </sheetData>
  <sheetProtection/>
  <mergeCells count="207">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B81:G81"/>
    <mergeCell ref="B82:G82"/>
    <mergeCell ref="B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B119:G119"/>
    <mergeCell ref="A120:G120"/>
    <mergeCell ref="B121:G121"/>
    <mergeCell ref="A128:G128"/>
    <mergeCell ref="B129:G129"/>
    <mergeCell ref="A130:G130"/>
    <mergeCell ref="B122:G122"/>
    <mergeCell ref="B123:G123"/>
    <mergeCell ref="A124:G124"/>
    <mergeCell ref="A125:G125"/>
    <mergeCell ref="A126:G126"/>
    <mergeCell ref="B127:G127"/>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2" manualBreakCount="2">
    <brk id="74" max="255" man="1"/>
    <brk id="115" max="255" man="1"/>
  </rowBreaks>
</worksheet>
</file>

<file path=xl/worksheets/sheet9.xml><?xml version="1.0" encoding="utf-8"?>
<worksheet xmlns="http://schemas.openxmlformats.org/spreadsheetml/2006/main" xmlns:r="http://schemas.openxmlformats.org/officeDocument/2006/relationships">
  <dimension ref="A1:G117"/>
  <sheetViews>
    <sheetView tabSelected="1" view="pageBreakPreview" zoomScale="60" zoomScalePageLayoutView="0" workbookViewId="0" topLeftCell="A85">
      <selection activeCell="A29" sqref="A29:A30"/>
    </sheetView>
  </sheetViews>
  <sheetFormatPr defaultColWidth="11.421875" defaultRowHeight="15"/>
  <cols>
    <col min="1" max="3" width="45.7109375" style="60" customWidth="1"/>
    <col min="4" max="4" width="17.140625" style="60" customWidth="1"/>
    <col min="5" max="5" width="26.140625" style="60" customWidth="1"/>
    <col min="6" max="6" width="41.8515625" style="60" customWidth="1"/>
    <col min="7" max="7" width="13.28125" style="60" customWidth="1"/>
    <col min="8" max="16384" width="11.421875" style="60" customWidth="1"/>
  </cols>
  <sheetData>
    <row r="1" spans="1:7" s="58" customFormat="1" ht="34.5">
      <c r="A1" s="184" t="s">
        <v>81</v>
      </c>
      <c r="B1" s="185"/>
      <c r="C1" s="185"/>
      <c r="D1" s="185"/>
      <c r="E1" s="185"/>
      <c r="F1" s="185"/>
      <c r="G1" s="185"/>
    </row>
    <row r="2" spans="1:7" s="58" customFormat="1" ht="37.5">
      <c r="A2" s="186" t="s">
        <v>82</v>
      </c>
      <c r="B2" s="186"/>
      <c r="C2" s="186"/>
      <c r="D2" s="186"/>
      <c r="E2" s="186"/>
      <c r="F2" s="186"/>
      <c r="G2" s="186"/>
    </row>
    <row r="3" s="59" customFormat="1" ht="11.25"/>
    <row r="4" spans="1:7" ht="15.75">
      <c r="A4" s="107" t="s">
        <v>83</v>
      </c>
      <c r="B4" s="108"/>
      <c r="C4" s="108"/>
      <c r="D4" s="108"/>
      <c r="E4" s="108"/>
      <c r="F4" s="108"/>
      <c r="G4" s="109"/>
    </row>
    <row r="5" spans="1:7" ht="31.5" customHeight="1">
      <c r="A5" s="137" t="s">
        <v>84</v>
      </c>
      <c r="B5" s="138"/>
      <c r="C5" s="139"/>
      <c r="D5" s="140" t="s">
        <v>968</v>
      </c>
      <c r="E5" s="141"/>
      <c r="F5" s="141"/>
      <c r="G5" s="142"/>
    </row>
    <row r="6" spans="1:7" ht="15.75">
      <c r="A6" s="137" t="s">
        <v>86</v>
      </c>
      <c r="B6" s="138"/>
      <c r="C6" s="139"/>
      <c r="D6" s="140" t="s">
        <v>87</v>
      </c>
      <c r="E6" s="141"/>
      <c r="F6" s="141"/>
      <c r="G6" s="142"/>
    </row>
    <row r="7" spans="1:7" ht="15.75">
      <c r="A7" s="137" t="s">
        <v>88</v>
      </c>
      <c r="B7" s="138"/>
      <c r="C7" s="139"/>
      <c r="D7" s="140" t="s">
        <v>89</v>
      </c>
      <c r="E7" s="141"/>
      <c r="F7" s="141"/>
      <c r="G7" s="142"/>
    </row>
    <row r="8" spans="1:7" ht="15.75">
      <c r="A8" s="137" t="s">
        <v>90</v>
      </c>
      <c r="B8" s="138"/>
      <c r="C8" s="139"/>
      <c r="D8" s="140" t="s">
        <v>1007</v>
      </c>
      <c r="E8" s="141"/>
      <c r="F8" s="141"/>
      <c r="G8" s="142"/>
    </row>
    <row r="9" spans="1:7" ht="15.75">
      <c r="A9" s="137" t="s">
        <v>92</v>
      </c>
      <c r="B9" s="138"/>
      <c r="C9" s="139"/>
      <c r="D9" s="140" t="s">
        <v>93</v>
      </c>
      <c r="E9" s="141"/>
      <c r="F9" s="141"/>
      <c r="G9" s="142"/>
    </row>
    <row r="10" spans="1:7" ht="15.75">
      <c r="A10" s="115" t="s">
        <v>94</v>
      </c>
      <c r="B10" s="115"/>
      <c r="C10" s="115"/>
      <c r="D10" s="115"/>
      <c r="E10" s="115"/>
      <c r="F10" s="115"/>
      <c r="G10" s="115"/>
    </row>
    <row r="11" spans="1:7" ht="16.5">
      <c r="A11" s="159" t="s">
        <v>95</v>
      </c>
      <c r="B11" s="160"/>
      <c r="C11" s="160"/>
      <c r="D11" s="160"/>
      <c r="E11" s="160"/>
      <c r="F11" s="160"/>
      <c r="G11" s="161"/>
    </row>
    <row r="12" spans="1:7" ht="16.5">
      <c r="A12" s="162" t="s">
        <v>96</v>
      </c>
      <c r="B12" s="163"/>
      <c r="C12" s="163"/>
      <c r="D12" s="163"/>
      <c r="E12" s="163"/>
      <c r="F12" s="163"/>
      <c r="G12" s="164"/>
    </row>
    <row r="13" spans="1:7" ht="15.75">
      <c r="A13" s="165" t="s">
        <v>970</v>
      </c>
      <c r="B13" s="166"/>
      <c r="C13" s="166"/>
      <c r="D13" s="166"/>
      <c r="E13" s="166"/>
      <c r="F13" s="166"/>
      <c r="G13" s="167"/>
    </row>
    <row r="14" spans="1:7" ht="16.5">
      <c r="A14" s="39"/>
      <c r="B14" s="163" t="s">
        <v>98</v>
      </c>
      <c r="C14" s="163"/>
      <c r="D14" s="163"/>
      <c r="E14" s="163"/>
      <c r="F14" s="163"/>
      <c r="G14" s="164"/>
    </row>
    <row r="15" spans="1:7" ht="15.75">
      <c r="A15" s="61"/>
      <c r="B15" s="182" t="s">
        <v>1008</v>
      </c>
      <c r="C15" s="182"/>
      <c r="D15" s="182"/>
      <c r="E15" s="182"/>
      <c r="F15" s="182"/>
      <c r="G15" s="183"/>
    </row>
    <row r="16" spans="1:7" ht="15.75">
      <c r="A16" s="115" t="s">
        <v>100</v>
      </c>
      <c r="B16" s="115"/>
      <c r="C16" s="115"/>
      <c r="D16" s="115"/>
      <c r="E16" s="115"/>
      <c r="F16" s="115"/>
      <c r="G16" s="115"/>
    </row>
    <row r="17" spans="1:7" ht="15.75">
      <c r="A17" s="110" t="s">
        <v>101</v>
      </c>
      <c r="B17" s="111"/>
      <c r="C17" s="112" t="s">
        <v>102</v>
      </c>
      <c r="D17" s="113"/>
      <c r="E17" s="113"/>
      <c r="F17" s="113"/>
      <c r="G17" s="114"/>
    </row>
    <row r="18" spans="1:7" ht="15.75">
      <c r="A18" s="110" t="s">
        <v>103</v>
      </c>
      <c r="B18" s="111"/>
      <c r="C18" s="112" t="s">
        <v>104</v>
      </c>
      <c r="D18" s="113"/>
      <c r="E18" s="113"/>
      <c r="F18" s="113"/>
      <c r="G18" s="114"/>
    </row>
    <row r="19" spans="1:7" ht="15.75">
      <c r="A19" s="110" t="s">
        <v>105</v>
      </c>
      <c r="B19" s="111"/>
      <c r="C19" s="112" t="s">
        <v>106</v>
      </c>
      <c r="D19" s="113"/>
      <c r="E19" s="113"/>
      <c r="F19" s="113"/>
      <c r="G19" s="114"/>
    </row>
    <row r="20" spans="1:7" ht="15.75">
      <c r="A20" s="110" t="s">
        <v>107</v>
      </c>
      <c r="B20" s="111"/>
      <c r="C20" s="112" t="s">
        <v>108</v>
      </c>
      <c r="D20" s="113"/>
      <c r="E20" s="113"/>
      <c r="F20" s="113"/>
      <c r="G20" s="114"/>
    </row>
    <row r="21" spans="1:7" ht="15.75">
      <c r="A21" s="115" t="s">
        <v>109</v>
      </c>
      <c r="B21" s="115"/>
      <c r="C21" s="116"/>
      <c r="D21" s="116"/>
      <c r="E21" s="116"/>
      <c r="F21" s="116"/>
      <c r="G21" s="116"/>
    </row>
    <row r="22" spans="1:7" ht="15.75">
      <c r="A22" s="117"/>
      <c r="B22" s="118"/>
      <c r="C22" s="118"/>
      <c r="D22" s="119"/>
      <c r="E22" s="41" t="s">
        <v>1</v>
      </c>
      <c r="F22" s="41" t="s">
        <v>110</v>
      </c>
      <c r="G22" s="41" t="s">
        <v>111</v>
      </c>
    </row>
    <row r="23" spans="1:7" ht="15.75">
      <c r="A23" s="120"/>
      <c r="B23" s="121"/>
      <c r="C23" s="121"/>
      <c r="D23" s="122"/>
      <c r="E23" s="42" t="s">
        <v>2</v>
      </c>
      <c r="F23" s="42" t="s">
        <v>2</v>
      </c>
      <c r="G23" s="42" t="s">
        <v>112</v>
      </c>
    </row>
    <row r="24" spans="1:7" ht="15.75">
      <c r="A24" s="123" t="s">
        <v>113</v>
      </c>
      <c r="B24" s="124"/>
      <c r="C24" s="124"/>
      <c r="D24" s="125"/>
      <c r="E24" s="43">
        <f>'E001'!B17</f>
        <v>398.715279</v>
      </c>
      <c r="F24" s="43">
        <f>'E001'!C17</f>
        <v>372.69733589</v>
      </c>
      <c r="G24" s="44">
        <f>F24/E24</f>
        <v>0.9347455578445489</v>
      </c>
    </row>
    <row r="25" spans="1:7" ht="15.75">
      <c r="A25" s="123" t="s">
        <v>114</v>
      </c>
      <c r="B25" s="124"/>
      <c r="C25" s="124"/>
      <c r="D25" s="125"/>
      <c r="E25" s="43">
        <f>'E001'!B18</f>
        <v>372.69733589000003</v>
      </c>
      <c r="F25" s="43">
        <f>'E001'!C18</f>
        <v>372.69733589</v>
      </c>
      <c r="G25" s="44">
        <f>F25/E25</f>
        <v>0.9999999999999999</v>
      </c>
    </row>
    <row r="26" spans="1:7" ht="15.75">
      <c r="A26" s="107" t="s">
        <v>115</v>
      </c>
      <c r="B26" s="108"/>
      <c r="C26" s="108"/>
      <c r="D26" s="108"/>
      <c r="E26" s="108"/>
      <c r="F26" s="108"/>
      <c r="G26" s="109"/>
    </row>
    <row r="27" spans="1:7" ht="15.75">
      <c r="A27" s="107" t="s">
        <v>352</v>
      </c>
      <c r="B27" s="108"/>
      <c r="C27" s="108"/>
      <c r="D27" s="108"/>
      <c r="E27" s="108"/>
      <c r="F27" s="108"/>
      <c r="G27" s="109"/>
    </row>
    <row r="28" spans="1:7" ht="15.75">
      <c r="A28" s="106" t="s">
        <v>117</v>
      </c>
      <c r="B28" s="106"/>
      <c r="C28" s="106"/>
      <c r="D28" s="106"/>
      <c r="E28" s="106"/>
      <c r="F28" s="106" t="s">
        <v>118</v>
      </c>
      <c r="G28" s="106"/>
    </row>
    <row r="29" spans="1:7" ht="15.75" customHeight="1">
      <c r="A29" s="104" t="s">
        <v>119</v>
      </c>
      <c r="B29" s="104" t="s">
        <v>120</v>
      </c>
      <c r="C29" s="104" t="s">
        <v>65</v>
      </c>
      <c r="D29" s="104" t="s">
        <v>121</v>
      </c>
      <c r="E29" s="104" t="s">
        <v>122</v>
      </c>
      <c r="F29" s="45" t="s">
        <v>123</v>
      </c>
      <c r="G29" s="46">
        <v>1</v>
      </c>
    </row>
    <row r="30" spans="1:7" ht="15.75">
      <c r="A30" s="105"/>
      <c r="B30" s="105"/>
      <c r="C30" s="105"/>
      <c r="D30" s="105"/>
      <c r="E30" s="105"/>
      <c r="F30" s="45" t="s">
        <v>124</v>
      </c>
      <c r="G30" s="46">
        <v>10</v>
      </c>
    </row>
    <row r="31" spans="1:7" ht="35.25" customHeight="1">
      <c r="A31" s="100" t="s">
        <v>1009</v>
      </c>
      <c r="B31" s="100" t="s">
        <v>1010</v>
      </c>
      <c r="C31" s="100" t="s">
        <v>1011</v>
      </c>
      <c r="D31" s="102" t="s">
        <v>1012</v>
      </c>
      <c r="E31" s="102" t="s">
        <v>292</v>
      </c>
      <c r="F31" s="45" t="s">
        <v>130</v>
      </c>
      <c r="G31" s="47">
        <v>13</v>
      </c>
    </row>
    <row r="32" spans="1:7" ht="35.25" customHeight="1">
      <c r="A32" s="101"/>
      <c r="B32" s="101"/>
      <c r="C32" s="101"/>
      <c r="D32" s="103"/>
      <c r="E32" s="103"/>
      <c r="F32" s="45" t="s">
        <v>131</v>
      </c>
      <c r="G32" s="47">
        <v>130</v>
      </c>
    </row>
    <row r="33" spans="1:7" ht="15.75">
      <c r="A33" s="96" t="s">
        <v>288</v>
      </c>
      <c r="B33" s="96"/>
      <c r="C33" s="96"/>
      <c r="D33" s="96"/>
      <c r="E33" s="96"/>
      <c r="F33" s="96"/>
      <c r="G33" s="96"/>
    </row>
    <row r="34" spans="1:7" ht="15.75">
      <c r="A34" s="106" t="s">
        <v>117</v>
      </c>
      <c r="B34" s="106"/>
      <c r="C34" s="106"/>
      <c r="D34" s="106"/>
      <c r="E34" s="106"/>
      <c r="F34" s="106" t="s">
        <v>118</v>
      </c>
      <c r="G34" s="106"/>
    </row>
    <row r="35" spans="1:7" ht="15.75" customHeight="1">
      <c r="A35" s="104" t="s">
        <v>119</v>
      </c>
      <c r="B35" s="104" t="s">
        <v>120</v>
      </c>
      <c r="C35" s="104" t="s">
        <v>65</v>
      </c>
      <c r="D35" s="104" t="s">
        <v>121</v>
      </c>
      <c r="E35" s="104" t="s">
        <v>122</v>
      </c>
      <c r="F35" s="45" t="s">
        <v>123</v>
      </c>
      <c r="G35" s="46">
        <v>1</v>
      </c>
    </row>
    <row r="36" spans="1:7" ht="15.75">
      <c r="A36" s="105"/>
      <c r="B36" s="105"/>
      <c r="C36" s="105"/>
      <c r="D36" s="105"/>
      <c r="E36" s="105"/>
      <c r="F36" s="45" t="s">
        <v>124</v>
      </c>
      <c r="G36" s="46">
        <v>100</v>
      </c>
    </row>
    <row r="37" spans="1:7" ht="31.5" customHeight="1">
      <c r="A37" s="100" t="s">
        <v>1013</v>
      </c>
      <c r="B37" s="100" t="s">
        <v>1014</v>
      </c>
      <c r="C37" s="100" t="s">
        <v>1015</v>
      </c>
      <c r="D37" s="102" t="s">
        <v>5</v>
      </c>
      <c r="E37" s="102" t="s">
        <v>292</v>
      </c>
      <c r="F37" s="45" t="s">
        <v>130</v>
      </c>
      <c r="G37" s="47">
        <f>(1/1)*100</f>
        <v>100</v>
      </c>
    </row>
    <row r="38" spans="1:7" ht="31.5" customHeight="1">
      <c r="A38" s="101"/>
      <c r="B38" s="101"/>
      <c r="C38" s="101"/>
      <c r="D38" s="103"/>
      <c r="E38" s="103"/>
      <c r="F38" s="45" t="s">
        <v>131</v>
      </c>
      <c r="G38" s="47">
        <v>100</v>
      </c>
    </row>
    <row r="39" spans="1:7" ht="15.75" customHeight="1">
      <c r="A39" s="104" t="s">
        <v>119</v>
      </c>
      <c r="B39" s="104" t="s">
        <v>120</v>
      </c>
      <c r="C39" s="104" t="s">
        <v>65</v>
      </c>
      <c r="D39" s="104" t="s">
        <v>121</v>
      </c>
      <c r="E39" s="104" t="s">
        <v>122</v>
      </c>
      <c r="F39" s="45" t="s">
        <v>123</v>
      </c>
      <c r="G39" s="46">
        <v>8</v>
      </c>
    </row>
    <row r="40" spans="1:7" ht="15.75">
      <c r="A40" s="105"/>
      <c r="B40" s="105"/>
      <c r="C40" s="105"/>
      <c r="D40" s="105"/>
      <c r="E40" s="105"/>
      <c r="F40" s="45" t="s">
        <v>124</v>
      </c>
      <c r="G40" s="46">
        <v>8</v>
      </c>
    </row>
    <row r="41" spans="1:7" ht="33.75" customHeight="1">
      <c r="A41" s="100" t="s">
        <v>1016</v>
      </c>
      <c r="B41" s="100" t="s">
        <v>1014</v>
      </c>
      <c r="C41" s="100" t="s">
        <v>1017</v>
      </c>
      <c r="D41" s="102" t="s">
        <v>149</v>
      </c>
      <c r="E41" s="102" t="s">
        <v>292</v>
      </c>
      <c r="F41" s="45" t="s">
        <v>130</v>
      </c>
      <c r="G41" s="47">
        <f>(9+8+9+9)/4</f>
        <v>8.75</v>
      </c>
    </row>
    <row r="42" spans="1:7" ht="33.75" customHeight="1">
      <c r="A42" s="101"/>
      <c r="B42" s="101"/>
      <c r="C42" s="101"/>
      <c r="D42" s="103"/>
      <c r="E42" s="103"/>
      <c r="F42" s="45" t="s">
        <v>131</v>
      </c>
      <c r="G42" s="47">
        <v>109.375</v>
      </c>
    </row>
    <row r="43" spans="1:7" ht="15.75">
      <c r="A43" s="96" t="s">
        <v>293</v>
      </c>
      <c r="B43" s="96"/>
      <c r="C43" s="96"/>
      <c r="D43" s="96"/>
      <c r="E43" s="96"/>
      <c r="F43" s="96"/>
      <c r="G43" s="96"/>
    </row>
    <row r="44" spans="1:7" ht="15.75">
      <c r="A44" s="106" t="s">
        <v>117</v>
      </c>
      <c r="B44" s="106"/>
      <c r="C44" s="106"/>
      <c r="D44" s="106"/>
      <c r="E44" s="106"/>
      <c r="F44" s="106" t="s">
        <v>118</v>
      </c>
      <c r="G44" s="106"/>
    </row>
    <row r="45" spans="1:7" ht="15.75" customHeight="1">
      <c r="A45" s="104" t="s">
        <v>119</v>
      </c>
      <c r="B45" s="104" t="s">
        <v>120</v>
      </c>
      <c r="C45" s="104" t="s">
        <v>65</v>
      </c>
      <c r="D45" s="104" t="s">
        <v>121</v>
      </c>
      <c r="E45" s="104" t="s">
        <v>122</v>
      </c>
      <c r="F45" s="45" t="s">
        <v>123</v>
      </c>
      <c r="G45" s="46">
        <v>92</v>
      </c>
    </row>
    <row r="46" spans="1:7" ht="15.75">
      <c r="A46" s="105"/>
      <c r="B46" s="105"/>
      <c r="C46" s="105"/>
      <c r="D46" s="105"/>
      <c r="E46" s="105"/>
      <c r="F46" s="45" t="s">
        <v>124</v>
      </c>
      <c r="G46" s="46">
        <v>92</v>
      </c>
    </row>
    <row r="47" spans="1:7" ht="15.75" customHeight="1">
      <c r="A47" s="100" t="s">
        <v>1018</v>
      </c>
      <c r="B47" s="100" t="s">
        <v>1019</v>
      </c>
      <c r="C47" s="100" t="s">
        <v>1020</v>
      </c>
      <c r="D47" s="102" t="s">
        <v>128</v>
      </c>
      <c r="E47" s="102" t="s">
        <v>142</v>
      </c>
      <c r="F47" s="45" t="s">
        <v>130</v>
      </c>
      <c r="G47" s="47">
        <f>((((28+33+29+39)/(32+36+30+40))*0.8)+((10/10)*0.2))*100</f>
        <v>94.78260869565219</v>
      </c>
    </row>
    <row r="48" spans="1:7" ht="27">
      <c r="A48" s="101"/>
      <c r="B48" s="101"/>
      <c r="C48" s="101"/>
      <c r="D48" s="103"/>
      <c r="E48" s="103"/>
      <c r="F48" s="45" t="s">
        <v>131</v>
      </c>
      <c r="G48" s="47">
        <v>103.02457466918715</v>
      </c>
    </row>
    <row r="49" spans="1:7" ht="15.75" customHeight="1">
      <c r="A49" s="104" t="s">
        <v>119</v>
      </c>
      <c r="B49" s="104" t="s">
        <v>120</v>
      </c>
      <c r="C49" s="104" t="s">
        <v>65</v>
      </c>
      <c r="D49" s="104" t="s">
        <v>121</v>
      </c>
      <c r="E49" s="104" t="s">
        <v>122</v>
      </c>
      <c r="F49" s="45" t="s">
        <v>123</v>
      </c>
      <c r="G49" s="46">
        <v>100</v>
      </c>
    </row>
    <row r="50" spans="1:7" ht="15.75">
      <c r="A50" s="105"/>
      <c r="B50" s="105"/>
      <c r="C50" s="105"/>
      <c r="D50" s="105"/>
      <c r="E50" s="105"/>
      <c r="F50" s="45" t="s">
        <v>124</v>
      </c>
      <c r="G50" s="46">
        <v>100</v>
      </c>
    </row>
    <row r="51" spans="1:7" ht="15.75" customHeight="1">
      <c r="A51" s="100" t="s">
        <v>1021</v>
      </c>
      <c r="B51" s="100" t="s">
        <v>1022</v>
      </c>
      <c r="C51" s="100" t="s">
        <v>1023</v>
      </c>
      <c r="D51" s="102" t="s">
        <v>128</v>
      </c>
      <c r="E51" s="102" t="s">
        <v>142</v>
      </c>
      <c r="F51" s="45" t="s">
        <v>130</v>
      </c>
      <c r="G51" s="47">
        <f>((6/6)*0.5+(4/4)*0.5)*100</f>
        <v>100</v>
      </c>
    </row>
    <row r="52" spans="1:7" ht="27">
      <c r="A52" s="101"/>
      <c r="B52" s="101"/>
      <c r="C52" s="101"/>
      <c r="D52" s="103"/>
      <c r="E52" s="103"/>
      <c r="F52" s="45" t="s">
        <v>131</v>
      </c>
      <c r="G52" s="47">
        <v>100</v>
      </c>
    </row>
    <row r="53" spans="1:7" ht="15.75">
      <c r="A53" s="96" t="s">
        <v>303</v>
      </c>
      <c r="B53" s="96"/>
      <c r="C53" s="96"/>
      <c r="D53" s="96"/>
      <c r="E53" s="96"/>
      <c r="F53" s="96"/>
      <c r="G53" s="96"/>
    </row>
    <row r="54" spans="1:7" ht="15.75">
      <c r="A54" s="106" t="s">
        <v>117</v>
      </c>
      <c r="B54" s="106"/>
      <c r="C54" s="106"/>
      <c r="D54" s="106"/>
      <c r="E54" s="106"/>
      <c r="F54" s="106" t="s">
        <v>118</v>
      </c>
      <c r="G54" s="106"/>
    </row>
    <row r="55" spans="1:7" ht="15.75" customHeight="1">
      <c r="A55" s="104" t="s">
        <v>119</v>
      </c>
      <c r="B55" s="104" t="s">
        <v>120</v>
      </c>
      <c r="C55" s="104" t="s">
        <v>65</v>
      </c>
      <c r="D55" s="104" t="s">
        <v>121</v>
      </c>
      <c r="E55" s="104" t="s">
        <v>122</v>
      </c>
      <c r="F55" s="45" t="s">
        <v>123</v>
      </c>
      <c r="G55" s="46">
        <v>90</v>
      </c>
    </row>
    <row r="56" spans="1:7" ht="15.75">
      <c r="A56" s="105"/>
      <c r="B56" s="105"/>
      <c r="C56" s="105"/>
      <c r="D56" s="105"/>
      <c r="E56" s="105"/>
      <c r="F56" s="45" t="s">
        <v>124</v>
      </c>
      <c r="G56" s="46">
        <v>90</v>
      </c>
    </row>
    <row r="57" spans="1:7" ht="15.75" customHeight="1">
      <c r="A57" s="100" t="s">
        <v>1024</v>
      </c>
      <c r="B57" s="100" t="s">
        <v>1025</v>
      </c>
      <c r="C57" s="100" t="s">
        <v>1026</v>
      </c>
      <c r="D57" s="102" t="s">
        <v>5</v>
      </c>
      <c r="E57" s="102" t="s">
        <v>167</v>
      </c>
      <c r="F57" s="45" t="s">
        <v>130</v>
      </c>
      <c r="G57" s="47">
        <f>((28+33+29+39)/(32+36+30+40))*100</f>
        <v>93.47826086956522</v>
      </c>
    </row>
    <row r="58" spans="1:7" ht="27">
      <c r="A58" s="101"/>
      <c r="B58" s="101"/>
      <c r="C58" s="101"/>
      <c r="D58" s="103"/>
      <c r="E58" s="103"/>
      <c r="F58" s="45" t="s">
        <v>131</v>
      </c>
      <c r="G58" s="47">
        <v>103.86473429951691</v>
      </c>
    </row>
    <row r="59" spans="1:7" ht="15.75" customHeight="1">
      <c r="A59" s="104" t="s">
        <v>119</v>
      </c>
      <c r="B59" s="104" t="s">
        <v>120</v>
      </c>
      <c r="C59" s="104" t="s">
        <v>65</v>
      </c>
      <c r="D59" s="104" t="s">
        <v>121</v>
      </c>
      <c r="E59" s="104" t="s">
        <v>122</v>
      </c>
      <c r="F59" s="45" t="s">
        <v>123</v>
      </c>
      <c r="G59" s="46">
        <v>4</v>
      </c>
    </row>
    <row r="60" spans="1:7" ht="15.75">
      <c r="A60" s="105"/>
      <c r="B60" s="105"/>
      <c r="C60" s="105"/>
      <c r="D60" s="105"/>
      <c r="E60" s="105"/>
      <c r="F60" s="45" t="s">
        <v>124</v>
      </c>
      <c r="G60" s="46">
        <v>100</v>
      </c>
    </row>
    <row r="61" spans="1:7" ht="28.5" customHeight="1">
      <c r="A61" s="100" t="s">
        <v>1027</v>
      </c>
      <c r="B61" s="100" t="s">
        <v>1028</v>
      </c>
      <c r="C61" s="100" t="s">
        <v>1026</v>
      </c>
      <c r="D61" s="102" t="s">
        <v>5</v>
      </c>
      <c r="E61" s="102" t="s">
        <v>142</v>
      </c>
      <c r="F61" s="45" t="s">
        <v>130</v>
      </c>
      <c r="G61" s="47">
        <f>(10/10)*100</f>
        <v>100</v>
      </c>
    </row>
    <row r="62" spans="1:7" ht="28.5" customHeight="1">
      <c r="A62" s="101"/>
      <c r="B62" s="101"/>
      <c r="C62" s="101"/>
      <c r="D62" s="103"/>
      <c r="E62" s="103"/>
      <c r="F62" s="45" t="s">
        <v>131</v>
      </c>
      <c r="G62" s="47">
        <v>100</v>
      </c>
    </row>
    <row r="63" spans="1:7" ht="15.75" customHeight="1">
      <c r="A63" s="104" t="s">
        <v>119</v>
      </c>
      <c r="B63" s="104" t="s">
        <v>120</v>
      </c>
      <c r="C63" s="104" t="s">
        <v>65</v>
      </c>
      <c r="D63" s="104" t="s">
        <v>121</v>
      </c>
      <c r="E63" s="104" t="s">
        <v>122</v>
      </c>
      <c r="F63" s="45" t="s">
        <v>123</v>
      </c>
      <c r="G63" s="46">
        <v>6</v>
      </c>
    </row>
    <row r="64" spans="1:7" ht="15.75">
      <c r="A64" s="105"/>
      <c r="B64" s="105"/>
      <c r="C64" s="105"/>
      <c r="D64" s="105"/>
      <c r="E64" s="105"/>
      <c r="F64" s="45" t="s">
        <v>124</v>
      </c>
      <c r="G64" s="46">
        <v>6</v>
      </c>
    </row>
    <row r="65" spans="1:7" ht="40.5" customHeight="1">
      <c r="A65" s="100" t="s">
        <v>1029</v>
      </c>
      <c r="B65" s="100" t="s">
        <v>1030</v>
      </c>
      <c r="C65" s="100" t="s">
        <v>1031</v>
      </c>
      <c r="D65" s="102" t="s">
        <v>1032</v>
      </c>
      <c r="E65" s="102" t="s">
        <v>298</v>
      </c>
      <c r="F65" s="45" t="s">
        <v>130</v>
      </c>
      <c r="G65" s="47">
        <v>6</v>
      </c>
    </row>
    <row r="66" spans="1:7" ht="40.5" customHeight="1">
      <c r="A66" s="101"/>
      <c r="B66" s="101"/>
      <c r="C66" s="101"/>
      <c r="D66" s="103"/>
      <c r="E66" s="103"/>
      <c r="F66" s="45" t="s">
        <v>131</v>
      </c>
      <c r="G66" s="47">
        <v>100</v>
      </c>
    </row>
    <row r="67" spans="1:7" ht="15.75" customHeight="1">
      <c r="A67" s="104" t="s">
        <v>119</v>
      </c>
      <c r="B67" s="104" t="s">
        <v>120</v>
      </c>
      <c r="C67" s="104" t="s">
        <v>65</v>
      </c>
      <c r="D67" s="104" t="s">
        <v>121</v>
      </c>
      <c r="E67" s="104" t="s">
        <v>122</v>
      </c>
      <c r="F67" s="45" t="s">
        <v>123</v>
      </c>
      <c r="G67" s="46">
        <v>4</v>
      </c>
    </row>
    <row r="68" spans="1:7" ht="15.75">
      <c r="A68" s="105"/>
      <c r="B68" s="105"/>
      <c r="C68" s="105"/>
      <c r="D68" s="105"/>
      <c r="E68" s="105"/>
      <c r="F68" s="45" t="s">
        <v>124</v>
      </c>
      <c r="G68" s="46">
        <v>4</v>
      </c>
    </row>
    <row r="69" spans="1:7" ht="41.25" customHeight="1">
      <c r="A69" s="100" t="s">
        <v>1033</v>
      </c>
      <c r="B69" s="100" t="s">
        <v>1034</v>
      </c>
      <c r="C69" s="100" t="s">
        <v>1035</v>
      </c>
      <c r="D69" s="102" t="s">
        <v>1036</v>
      </c>
      <c r="E69" s="102" t="s">
        <v>167</v>
      </c>
      <c r="F69" s="45" t="s">
        <v>130</v>
      </c>
      <c r="G69" s="47">
        <v>4</v>
      </c>
    </row>
    <row r="70" spans="1:7" ht="41.25" customHeight="1">
      <c r="A70" s="101"/>
      <c r="B70" s="101"/>
      <c r="C70" s="101"/>
      <c r="D70" s="103"/>
      <c r="E70" s="103"/>
      <c r="F70" s="45" t="s">
        <v>131</v>
      </c>
      <c r="G70" s="47">
        <v>100</v>
      </c>
    </row>
    <row r="71" spans="1:7" ht="15.75">
      <c r="A71" s="96" t="s">
        <v>192</v>
      </c>
      <c r="B71" s="96"/>
      <c r="C71" s="96"/>
      <c r="D71" s="96"/>
      <c r="E71" s="96"/>
      <c r="F71" s="96"/>
      <c r="G71" s="96"/>
    </row>
    <row r="72" spans="1:7" ht="15.75">
      <c r="A72" s="99" t="s">
        <v>1009</v>
      </c>
      <c r="B72" s="99"/>
      <c r="C72" s="99"/>
      <c r="D72" s="99"/>
      <c r="E72" s="99"/>
      <c r="F72" s="99"/>
      <c r="G72" s="99"/>
    </row>
    <row r="73" spans="1:7" ht="44.25" customHeight="1">
      <c r="A73" s="48" t="s">
        <v>193</v>
      </c>
      <c r="B73" s="94" t="s">
        <v>1037</v>
      </c>
      <c r="C73" s="94"/>
      <c r="D73" s="94"/>
      <c r="E73" s="94"/>
      <c r="F73" s="94"/>
      <c r="G73" s="94"/>
    </row>
    <row r="74" spans="1:7" ht="15.75">
      <c r="A74" s="49" t="s">
        <v>6</v>
      </c>
      <c r="B74" s="94" t="s">
        <v>1038</v>
      </c>
      <c r="C74" s="94"/>
      <c r="D74" s="94"/>
      <c r="E74" s="94"/>
      <c r="F74" s="94"/>
      <c r="G74" s="94"/>
    </row>
    <row r="75" spans="1:7" ht="15.75">
      <c r="A75" s="49" t="s">
        <v>195</v>
      </c>
      <c r="B75" s="95" t="s">
        <v>259</v>
      </c>
      <c r="C75" s="95"/>
      <c r="D75" s="95"/>
      <c r="E75" s="95"/>
      <c r="F75" s="95"/>
      <c r="G75" s="95"/>
    </row>
    <row r="76" spans="1:7" ht="15.75">
      <c r="A76" s="90" t="s">
        <v>1013</v>
      </c>
      <c r="B76" s="90"/>
      <c r="C76" s="90"/>
      <c r="D76" s="90"/>
      <c r="E76" s="90"/>
      <c r="F76" s="90"/>
      <c r="G76" s="90"/>
    </row>
    <row r="77" spans="1:7" ht="38.25" customHeight="1">
      <c r="A77" s="49" t="s">
        <v>193</v>
      </c>
      <c r="B77" s="94" t="s">
        <v>1039</v>
      </c>
      <c r="C77" s="94"/>
      <c r="D77" s="94"/>
      <c r="E77" s="94"/>
      <c r="F77" s="94"/>
      <c r="G77" s="94"/>
    </row>
    <row r="78" spans="1:7" ht="15.75">
      <c r="A78" s="49" t="s">
        <v>6</v>
      </c>
      <c r="B78" s="94" t="s">
        <v>1040</v>
      </c>
      <c r="C78" s="94"/>
      <c r="D78" s="94"/>
      <c r="E78" s="94"/>
      <c r="F78" s="94"/>
      <c r="G78" s="94"/>
    </row>
    <row r="79" spans="1:7" ht="15.75">
      <c r="A79" s="49" t="s">
        <v>195</v>
      </c>
      <c r="B79" s="95" t="s">
        <v>259</v>
      </c>
      <c r="C79" s="95"/>
      <c r="D79" s="95"/>
      <c r="E79" s="95"/>
      <c r="F79" s="95"/>
      <c r="G79" s="95"/>
    </row>
    <row r="80" spans="1:7" ht="15.75">
      <c r="A80" s="90" t="s">
        <v>1016</v>
      </c>
      <c r="B80" s="90"/>
      <c r="C80" s="90"/>
      <c r="D80" s="90"/>
      <c r="E80" s="90"/>
      <c r="F80" s="90"/>
      <c r="G80" s="90"/>
    </row>
    <row r="81" spans="1:7" ht="31.5" customHeight="1">
      <c r="A81" s="48" t="s">
        <v>193</v>
      </c>
      <c r="B81" s="98" t="s">
        <v>1041</v>
      </c>
      <c r="C81" s="98"/>
      <c r="D81" s="98"/>
      <c r="E81" s="98"/>
      <c r="F81" s="98"/>
      <c r="G81" s="98"/>
    </row>
    <row r="82" spans="1:7" ht="31.5" customHeight="1">
      <c r="A82" s="49" t="s">
        <v>6</v>
      </c>
      <c r="B82" s="94" t="s">
        <v>1042</v>
      </c>
      <c r="C82" s="94"/>
      <c r="D82" s="94"/>
      <c r="E82" s="94"/>
      <c r="F82" s="94"/>
      <c r="G82" s="94"/>
    </row>
    <row r="83" spans="1:7" ht="15.75">
      <c r="A83" s="49" t="s">
        <v>195</v>
      </c>
      <c r="B83" s="95" t="s">
        <v>259</v>
      </c>
      <c r="C83" s="95"/>
      <c r="D83" s="95"/>
      <c r="E83" s="95"/>
      <c r="F83" s="95"/>
      <c r="G83" s="95"/>
    </row>
    <row r="84" spans="1:7" ht="15.75">
      <c r="A84" s="97" t="s">
        <v>1018</v>
      </c>
      <c r="B84" s="97"/>
      <c r="C84" s="97"/>
      <c r="D84" s="97"/>
      <c r="E84" s="97"/>
      <c r="F84" s="97"/>
      <c r="G84" s="97"/>
    </row>
    <row r="85" spans="1:7" ht="31.5" customHeight="1">
      <c r="A85" s="49" t="s">
        <v>193</v>
      </c>
      <c r="B85" s="94" t="s">
        <v>1043</v>
      </c>
      <c r="C85" s="94"/>
      <c r="D85" s="94"/>
      <c r="E85" s="94"/>
      <c r="F85" s="94"/>
      <c r="G85" s="94"/>
    </row>
    <row r="86" spans="1:7" ht="15.75">
      <c r="A86" s="49" t="s">
        <v>6</v>
      </c>
      <c r="B86" s="94" t="s">
        <v>1044</v>
      </c>
      <c r="C86" s="94"/>
      <c r="D86" s="94"/>
      <c r="E86" s="94"/>
      <c r="F86" s="94"/>
      <c r="G86" s="94"/>
    </row>
    <row r="87" spans="1:7" ht="15.75">
      <c r="A87" s="49" t="s">
        <v>195</v>
      </c>
      <c r="B87" s="95" t="s">
        <v>259</v>
      </c>
      <c r="C87" s="95"/>
      <c r="D87" s="95"/>
      <c r="E87" s="95"/>
      <c r="F87" s="95"/>
      <c r="G87" s="95"/>
    </row>
    <row r="88" spans="1:7" ht="15.75">
      <c r="A88" s="90" t="s">
        <v>1021</v>
      </c>
      <c r="B88" s="90"/>
      <c r="C88" s="90"/>
      <c r="D88" s="90"/>
      <c r="E88" s="90"/>
      <c r="F88" s="90"/>
      <c r="G88" s="90"/>
    </row>
    <row r="89" spans="1:7" ht="15.75">
      <c r="A89" s="49" t="s">
        <v>193</v>
      </c>
      <c r="B89" s="94" t="s">
        <v>1045</v>
      </c>
      <c r="C89" s="94"/>
      <c r="D89" s="94"/>
      <c r="E89" s="94"/>
      <c r="F89" s="94"/>
      <c r="G89" s="94"/>
    </row>
    <row r="90" spans="1:7" ht="31.5" customHeight="1">
      <c r="A90" s="49" t="s">
        <v>6</v>
      </c>
      <c r="B90" s="94" t="s">
        <v>1046</v>
      </c>
      <c r="C90" s="94"/>
      <c r="D90" s="94"/>
      <c r="E90" s="94"/>
      <c r="F90" s="94"/>
      <c r="G90" s="94"/>
    </row>
    <row r="91" spans="1:7" ht="15.75">
      <c r="A91" s="49" t="s">
        <v>195</v>
      </c>
      <c r="B91" s="95" t="s">
        <v>259</v>
      </c>
      <c r="C91" s="95"/>
      <c r="D91" s="95"/>
      <c r="E91" s="95"/>
      <c r="F91" s="95"/>
      <c r="G91" s="95"/>
    </row>
    <row r="92" spans="1:7" ht="15.75">
      <c r="A92" s="90" t="s">
        <v>1024</v>
      </c>
      <c r="B92" s="90"/>
      <c r="C92" s="90"/>
      <c r="D92" s="90"/>
      <c r="E92" s="90"/>
      <c r="F92" s="90"/>
      <c r="G92" s="90"/>
    </row>
    <row r="93" spans="1:7" ht="15.75">
      <c r="A93" s="49" t="s">
        <v>193</v>
      </c>
      <c r="B93" s="94" t="s">
        <v>1047</v>
      </c>
      <c r="C93" s="94"/>
      <c r="D93" s="94"/>
      <c r="E93" s="94"/>
      <c r="F93" s="94"/>
      <c r="G93" s="94"/>
    </row>
    <row r="94" spans="1:7" ht="15.75">
      <c r="A94" s="49" t="s">
        <v>6</v>
      </c>
      <c r="B94" s="94" t="s">
        <v>1044</v>
      </c>
      <c r="C94" s="94"/>
      <c r="D94" s="94"/>
      <c r="E94" s="94"/>
      <c r="F94" s="94"/>
      <c r="G94" s="94"/>
    </row>
    <row r="95" spans="1:7" ht="15.75">
      <c r="A95" s="49" t="s">
        <v>195</v>
      </c>
      <c r="B95" s="95" t="s">
        <v>259</v>
      </c>
      <c r="C95" s="95"/>
      <c r="D95" s="95"/>
      <c r="E95" s="95"/>
      <c r="F95" s="95"/>
      <c r="G95" s="95"/>
    </row>
    <row r="96" spans="1:7" ht="15.75">
      <c r="A96" s="90" t="s">
        <v>1027</v>
      </c>
      <c r="B96" s="90"/>
      <c r="C96" s="90"/>
      <c r="D96" s="90"/>
      <c r="E96" s="90"/>
      <c r="F96" s="90"/>
      <c r="G96" s="90"/>
    </row>
    <row r="97" spans="1:7" ht="15.75">
      <c r="A97" s="49" t="s">
        <v>193</v>
      </c>
      <c r="B97" s="94" t="s">
        <v>1048</v>
      </c>
      <c r="C97" s="94"/>
      <c r="D97" s="94"/>
      <c r="E97" s="94"/>
      <c r="F97" s="94"/>
      <c r="G97" s="94"/>
    </row>
    <row r="98" spans="1:7" ht="15.75">
      <c r="A98" s="49" t="s">
        <v>6</v>
      </c>
      <c r="B98" s="94" t="s">
        <v>1049</v>
      </c>
      <c r="C98" s="94"/>
      <c r="D98" s="94"/>
      <c r="E98" s="94"/>
      <c r="F98" s="94"/>
      <c r="G98" s="94"/>
    </row>
    <row r="99" spans="1:7" ht="15.75">
      <c r="A99" s="49" t="s">
        <v>195</v>
      </c>
      <c r="B99" s="95" t="s">
        <v>259</v>
      </c>
      <c r="C99" s="95"/>
      <c r="D99" s="95"/>
      <c r="E99" s="95"/>
      <c r="F99" s="95"/>
      <c r="G99" s="95"/>
    </row>
    <row r="100" spans="1:7" ht="15.75">
      <c r="A100" s="90" t="s">
        <v>1029</v>
      </c>
      <c r="B100" s="90"/>
      <c r="C100" s="90"/>
      <c r="D100" s="90"/>
      <c r="E100" s="90"/>
      <c r="F100" s="90"/>
      <c r="G100" s="90"/>
    </row>
    <row r="101" spans="1:7" ht="65.25" customHeight="1">
      <c r="A101" s="49" t="s">
        <v>193</v>
      </c>
      <c r="B101" s="94" t="s">
        <v>1050</v>
      </c>
      <c r="C101" s="94"/>
      <c r="D101" s="94"/>
      <c r="E101" s="94"/>
      <c r="F101" s="94"/>
      <c r="G101" s="94"/>
    </row>
    <row r="102" spans="1:7" ht="15.75">
      <c r="A102" s="49" t="s">
        <v>6</v>
      </c>
      <c r="B102" s="94" t="s">
        <v>1051</v>
      </c>
      <c r="C102" s="94"/>
      <c r="D102" s="94"/>
      <c r="E102" s="94"/>
      <c r="F102" s="94"/>
      <c r="G102" s="94"/>
    </row>
    <row r="103" spans="1:7" ht="15.75">
      <c r="A103" s="49" t="s">
        <v>195</v>
      </c>
      <c r="B103" s="95" t="s">
        <v>259</v>
      </c>
      <c r="C103" s="95"/>
      <c r="D103" s="95"/>
      <c r="E103" s="95"/>
      <c r="F103" s="95"/>
      <c r="G103" s="95"/>
    </row>
    <row r="104" spans="1:7" ht="15.75">
      <c r="A104" s="90" t="s">
        <v>1033</v>
      </c>
      <c r="B104" s="90"/>
      <c r="C104" s="90"/>
      <c r="D104" s="90"/>
      <c r="E104" s="90"/>
      <c r="F104" s="90"/>
      <c r="G104" s="90"/>
    </row>
    <row r="105" spans="1:7" ht="15.75">
      <c r="A105" s="49" t="s">
        <v>193</v>
      </c>
      <c r="B105" s="94" t="s">
        <v>1052</v>
      </c>
      <c r="C105" s="94"/>
      <c r="D105" s="94"/>
      <c r="E105" s="94"/>
      <c r="F105" s="94"/>
      <c r="G105" s="94"/>
    </row>
    <row r="106" spans="1:7" ht="15.75">
      <c r="A106" s="49" t="s">
        <v>6</v>
      </c>
      <c r="B106" s="94" t="s">
        <v>1053</v>
      </c>
      <c r="C106" s="94"/>
      <c r="D106" s="94"/>
      <c r="E106" s="94"/>
      <c r="F106" s="94"/>
      <c r="G106" s="94"/>
    </row>
    <row r="107" spans="1:7" ht="15.75">
      <c r="A107" s="49" t="s">
        <v>195</v>
      </c>
      <c r="B107" s="95" t="s">
        <v>259</v>
      </c>
      <c r="C107" s="95"/>
      <c r="D107" s="95"/>
      <c r="E107" s="95"/>
      <c r="F107" s="95"/>
      <c r="G107" s="95"/>
    </row>
    <row r="108" spans="1:7" ht="15.75">
      <c r="A108" s="146"/>
      <c r="B108" s="146"/>
      <c r="C108" s="146"/>
      <c r="D108" s="146"/>
      <c r="E108" s="146"/>
      <c r="F108" s="146"/>
      <c r="G108" s="146"/>
    </row>
    <row r="109" spans="1:7" ht="15.75">
      <c r="A109" s="96" t="s">
        <v>226</v>
      </c>
      <c r="B109" s="96"/>
      <c r="C109" s="96"/>
      <c r="D109" s="96"/>
      <c r="E109" s="96"/>
      <c r="F109" s="96"/>
      <c r="G109" s="96"/>
    </row>
    <row r="110" spans="1:7" ht="15.75">
      <c r="A110" s="90" t="s">
        <v>1009</v>
      </c>
      <c r="B110" s="90"/>
      <c r="C110" s="90"/>
      <c r="D110" s="90"/>
      <c r="E110" s="90"/>
      <c r="F110" s="90"/>
      <c r="G110" s="90"/>
    </row>
    <row r="111" spans="1:7" ht="31.5" customHeight="1">
      <c r="A111" s="49" t="s">
        <v>227</v>
      </c>
      <c r="B111" s="91" t="s">
        <v>1054</v>
      </c>
      <c r="C111" s="91"/>
      <c r="D111" s="91"/>
      <c r="E111" s="91"/>
      <c r="F111" s="91"/>
      <c r="G111" s="91"/>
    </row>
    <row r="112" spans="1:7" ht="15.75">
      <c r="A112" s="90" t="s">
        <v>1013</v>
      </c>
      <c r="B112" s="90"/>
      <c r="C112" s="90"/>
      <c r="D112" s="90"/>
      <c r="E112" s="90"/>
      <c r="F112" s="90"/>
      <c r="G112" s="90"/>
    </row>
    <row r="113" spans="1:7" ht="31.5" customHeight="1">
      <c r="A113" s="49" t="s">
        <v>227</v>
      </c>
      <c r="B113" s="91" t="s">
        <v>1055</v>
      </c>
      <c r="C113" s="91"/>
      <c r="D113" s="91"/>
      <c r="E113" s="91"/>
      <c r="F113" s="91"/>
      <c r="G113" s="91"/>
    </row>
    <row r="114" spans="1:7" ht="15.75">
      <c r="A114" s="90" t="s">
        <v>1027</v>
      </c>
      <c r="B114" s="90"/>
      <c r="C114" s="90"/>
      <c r="D114" s="90"/>
      <c r="E114" s="90"/>
      <c r="F114" s="90"/>
      <c r="G114" s="90"/>
    </row>
    <row r="115" spans="1:7" ht="38.25" customHeight="1">
      <c r="A115" s="49" t="s">
        <v>227</v>
      </c>
      <c r="B115" s="181" t="s">
        <v>1056</v>
      </c>
      <c r="C115" s="181"/>
      <c r="D115" s="181"/>
      <c r="E115" s="181"/>
      <c r="F115" s="181"/>
      <c r="G115" s="181"/>
    </row>
    <row r="116" spans="1:7" ht="15.75">
      <c r="A116" s="146"/>
      <c r="B116" s="146"/>
      <c r="C116" s="146"/>
      <c r="D116" s="146"/>
      <c r="E116" s="146"/>
      <c r="F116" s="146"/>
      <c r="G116" s="146"/>
    </row>
    <row r="117" spans="1:7" ht="31.5" customHeight="1">
      <c r="A117" s="93" t="s">
        <v>229</v>
      </c>
      <c r="B117" s="93"/>
      <c r="C117" s="93"/>
      <c r="D117" s="93"/>
      <c r="E117" s="93"/>
      <c r="F117" s="93"/>
      <c r="G117" s="93"/>
    </row>
  </sheetData>
  <sheetProtection/>
  <mergeCells count="182">
    <mergeCell ref="A1:G1"/>
    <mergeCell ref="A2:G2"/>
    <mergeCell ref="A4:G4"/>
    <mergeCell ref="A5:C5"/>
    <mergeCell ref="D5:G5"/>
    <mergeCell ref="A6:C6"/>
    <mergeCell ref="D6:G6"/>
    <mergeCell ref="A7:C7"/>
    <mergeCell ref="D7:G7"/>
    <mergeCell ref="A8:C8"/>
    <mergeCell ref="D8:G8"/>
    <mergeCell ref="A9:C9"/>
    <mergeCell ref="D9:G9"/>
    <mergeCell ref="A10:G10"/>
    <mergeCell ref="A11:G11"/>
    <mergeCell ref="A12:G12"/>
    <mergeCell ref="A13:G13"/>
    <mergeCell ref="B14:G14"/>
    <mergeCell ref="B15:G15"/>
    <mergeCell ref="A16:G16"/>
    <mergeCell ref="A17:B17"/>
    <mergeCell ref="C17:G17"/>
    <mergeCell ref="A18:B18"/>
    <mergeCell ref="C18:G18"/>
    <mergeCell ref="A19:B19"/>
    <mergeCell ref="C19:G19"/>
    <mergeCell ref="A20:B20"/>
    <mergeCell ref="C20:G20"/>
    <mergeCell ref="A21:G21"/>
    <mergeCell ref="A22:D23"/>
    <mergeCell ref="A24:D24"/>
    <mergeCell ref="A25:D25"/>
    <mergeCell ref="A26:G26"/>
    <mergeCell ref="A27:G27"/>
    <mergeCell ref="A28:E28"/>
    <mergeCell ref="F28:G28"/>
    <mergeCell ref="A29:A30"/>
    <mergeCell ref="B29:B30"/>
    <mergeCell ref="C29:C30"/>
    <mergeCell ref="D29:D30"/>
    <mergeCell ref="E29:E30"/>
    <mergeCell ref="A31:A32"/>
    <mergeCell ref="B31:B32"/>
    <mergeCell ref="C31:C32"/>
    <mergeCell ref="D31:D32"/>
    <mergeCell ref="E31:E32"/>
    <mergeCell ref="A33:G33"/>
    <mergeCell ref="A34:E34"/>
    <mergeCell ref="F34:G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B73:G73"/>
    <mergeCell ref="B74:G74"/>
    <mergeCell ref="B75:G75"/>
    <mergeCell ref="A76:G76"/>
    <mergeCell ref="B77:G77"/>
    <mergeCell ref="B78:G78"/>
    <mergeCell ref="B79:G79"/>
    <mergeCell ref="A80:G80"/>
    <mergeCell ref="B81:G81"/>
    <mergeCell ref="B82:G82"/>
    <mergeCell ref="B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B101:G101"/>
    <mergeCell ref="B102:G102"/>
    <mergeCell ref="B103:G103"/>
    <mergeCell ref="A104:G104"/>
    <mergeCell ref="B105:G105"/>
    <mergeCell ref="B106:G106"/>
    <mergeCell ref="B107:G107"/>
    <mergeCell ref="A114:G114"/>
    <mergeCell ref="B115:G115"/>
    <mergeCell ref="A116:G116"/>
    <mergeCell ref="A117:G117"/>
    <mergeCell ref="A108:G108"/>
    <mergeCell ref="A109:G109"/>
    <mergeCell ref="A110:G110"/>
    <mergeCell ref="B111:G111"/>
    <mergeCell ref="A112:G112"/>
    <mergeCell ref="B113:G113"/>
  </mergeCells>
  <printOptions horizontalCentered="1"/>
  <pageMargins left="0.7480314960629921" right="0.7480314960629921" top="0.984251968503937" bottom="0.984251968503937" header="0.5118110236220472" footer="0.5118110236220472"/>
  <pageSetup horizontalDpi="600" verticalDpi="600" orientation="landscape" scale="50" r:id="rId1"/>
  <rowBreaks count="2" manualBreakCount="2">
    <brk id="48" max="255" man="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2018-04-20T01:11:57Z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